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sukui\Google ドライブ\02_業務実施\02_JCMdatabase\"/>
    </mc:Choice>
  </mc:AlternateContent>
  <bookViews>
    <workbookView xWindow="0" yWindow="0" windowWidth="28800" windowHeight="11085" tabRatio="712"/>
  </bookViews>
  <sheets>
    <sheet name="Guidance" sheetId="1" r:id="rId1"/>
    <sheet name="Methodologies" sheetId="13" r:id="rId2"/>
    <sheet name="Methodologies_summary" sheetId="3" r:id="rId3"/>
    <sheet name="Project Data" sheetId="12" r:id="rId4"/>
    <sheet name="Project Data_summary" sheetId="11" r:id="rId5"/>
    <sheet name="Additional Information" sheetId="8" state="hidden" r:id="rId6"/>
    <sheet name="Financed Projects" sheetId="6" r:id="rId7"/>
    <sheet name="Financed Projects_summary" sheetId="7" r:id="rId8"/>
  </sheets>
  <definedNames>
    <definedName name="_xlnm._FilterDatabase" localSheetId="6" hidden="1">'Financed Projects'!$A$11:$M$229</definedName>
    <definedName name="_xlnm._FilterDatabase" localSheetId="1" hidden="1">Methodologies!$A$4:$BA$85</definedName>
    <definedName name="_xlnm._FilterDatabase" localSheetId="3" hidden="1">'Project Data'!$A$4:$BS$68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7" l="1"/>
  <c r="M11" i="7"/>
  <c r="M7" i="7"/>
  <c r="L230" i="6"/>
  <c r="R52" i="13"/>
  <c r="Q52" i="13"/>
  <c r="Q51" i="13"/>
  <c r="P52" i="13" l="1"/>
  <c r="BE54" i="12" l="1"/>
  <c r="BD54" i="12" s="1"/>
  <c r="AF54" i="12"/>
  <c r="AE54" i="12"/>
  <c r="AE31" i="12"/>
  <c r="AF31" i="12"/>
  <c r="BE31" i="12" l="1"/>
  <c r="BD31" i="12" s="1"/>
  <c r="BE18" i="12"/>
  <c r="BD18" i="12" s="1"/>
  <c r="AE18" i="12"/>
  <c r="AF18" i="12"/>
  <c r="B230" i="6"/>
  <c r="N9" i="7"/>
  <c r="M12" i="7" l="1"/>
  <c r="N12" i="7"/>
  <c r="N10" i="7"/>
  <c r="M10" i="7"/>
  <c r="G17" i="3" l="1"/>
  <c r="F17" i="3"/>
  <c r="E17" i="3"/>
  <c r="D17" i="3"/>
  <c r="C17" i="3"/>
  <c r="G9" i="3"/>
  <c r="F9" i="3"/>
  <c r="E9" i="3"/>
  <c r="D9" i="3"/>
  <c r="C9" i="3"/>
  <c r="Q59" i="13"/>
  <c r="R59" i="13"/>
  <c r="P59" i="13"/>
  <c r="R58" i="13"/>
  <c r="Q58" i="13"/>
  <c r="Q57" i="13"/>
  <c r="P58" i="13"/>
  <c r="H17" i="3" l="1"/>
  <c r="H9" i="3"/>
  <c r="J89" i="11"/>
  <c r="G7" i="3" l="1"/>
  <c r="G8" i="3"/>
  <c r="G10" i="3"/>
  <c r="G11" i="3"/>
  <c r="G12" i="3"/>
  <c r="G13" i="3"/>
  <c r="G14" i="3"/>
  <c r="G15" i="3"/>
  <c r="G16" i="3"/>
  <c r="G18" i="3"/>
  <c r="G19" i="3"/>
  <c r="G20" i="3"/>
  <c r="G21" i="3"/>
  <c r="G22" i="3"/>
  <c r="G6" i="3"/>
  <c r="G23" i="3" l="1"/>
  <c r="Q42" i="13"/>
  <c r="R42" i="13"/>
  <c r="R43" i="13"/>
  <c r="R44" i="13"/>
  <c r="Q43" i="13"/>
  <c r="Q44" i="13"/>
  <c r="P42" i="13"/>
  <c r="P44" i="13"/>
  <c r="F13" i="11"/>
  <c r="E13" i="11"/>
  <c r="D13" i="11"/>
  <c r="C13" i="11"/>
  <c r="BE35" i="12"/>
  <c r="BD35" i="12" s="1"/>
  <c r="AF35" i="12"/>
  <c r="F19" i="11"/>
  <c r="E19" i="11"/>
  <c r="D19" i="11"/>
  <c r="C19" i="11"/>
  <c r="G13" i="11" l="1"/>
  <c r="G19" i="11"/>
  <c r="BE8" i="12"/>
  <c r="BD8" i="12" s="1"/>
  <c r="AF8" i="12"/>
  <c r="BE5" i="12" l="1"/>
  <c r="BD5" i="12" s="1"/>
  <c r="H60" i="7" l="1"/>
  <c r="J90" i="11"/>
  <c r="I90" i="11"/>
  <c r="H90" i="11"/>
  <c r="G90" i="11"/>
  <c r="F90" i="11"/>
  <c r="E90" i="11"/>
  <c r="D90" i="11"/>
  <c r="C90" i="11"/>
  <c r="C89" i="11"/>
  <c r="I89" i="11"/>
  <c r="H89" i="11"/>
  <c r="G89" i="11"/>
  <c r="F89" i="11"/>
  <c r="E89" i="11"/>
  <c r="D89" i="11"/>
  <c r="BN69" i="12"/>
  <c r="BP69" i="12"/>
  <c r="BJ69" i="12"/>
  <c r="BH69" i="12"/>
  <c r="BE17" i="12" l="1"/>
  <c r="AL69" i="12" l="1"/>
  <c r="AM69" i="12"/>
  <c r="AN69" i="12"/>
  <c r="AO69" i="12"/>
  <c r="AP69" i="12"/>
  <c r="AQ69" i="12"/>
  <c r="AR69" i="12"/>
  <c r="AS69" i="12"/>
  <c r="AT69" i="12"/>
  <c r="AU69" i="12"/>
  <c r="AV69" i="12"/>
  <c r="AW69" i="12"/>
  <c r="AX69" i="12"/>
  <c r="AY69" i="12"/>
  <c r="AZ69" i="12"/>
  <c r="BA69" i="12"/>
  <c r="BB69" i="12"/>
  <c r="BC69" i="12"/>
  <c r="AC86" i="13"/>
  <c r="C58" i="3" s="1"/>
  <c r="AA86" i="13"/>
  <c r="W86" i="13"/>
  <c r="AE5" i="12"/>
  <c r="AE6" i="12"/>
  <c r="AE7" i="12"/>
  <c r="AE10" i="12"/>
  <c r="AE11" i="12"/>
  <c r="AE12" i="12"/>
  <c r="AE13" i="12"/>
  <c r="AE14" i="12"/>
  <c r="AE15" i="12"/>
  <c r="AE16" i="12"/>
  <c r="AE17" i="12"/>
  <c r="AE19" i="12"/>
  <c r="AE20" i="12"/>
  <c r="AE21" i="12"/>
  <c r="AE22" i="12"/>
  <c r="AE23" i="12"/>
  <c r="AE24" i="12"/>
  <c r="AE25" i="12"/>
  <c r="AE26" i="12"/>
  <c r="AE27" i="12"/>
  <c r="AE28" i="12"/>
  <c r="AE29" i="12"/>
  <c r="AE30" i="12"/>
  <c r="AE32" i="12"/>
  <c r="AE33" i="12"/>
  <c r="AE34" i="12"/>
  <c r="AE36" i="12"/>
  <c r="AE37" i="12"/>
  <c r="AE38" i="12"/>
  <c r="AE39" i="12"/>
  <c r="AE40" i="12"/>
  <c r="AE41" i="12"/>
  <c r="AE42" i="12"/>
  <c r="AE43" i="12"/>
  <c r="AE44" i="12"/>
  <c r="AE45" i="12"/>
  <c r="AE46" i="12"/>
  <c r="AE47" i="12"/>
  <c r="AE48" i="12"/>
  <c r="AE49" i="12"/>
  <c r="AE50" i="12"/>
  <c r="AE51" i="12"/>
  <c r="AE52" i="12"/>
  <c r="AE53" i="12"/>
  <c r="AE55" i="12"/>
  <c r="AE56" i="12"/>
  <c r="AE57" i="12"/>
  <c r="AE58" i="12"/>
  <c r="AE59" i="12"/>
  <c r="AE60" i="12"/>
  <c r="AE61" i="12"/>
  <c r="AE62" i="12"/>
  <c r="AE63" i="12"/>
  <c r="AE64" i="12"/>
  <c r="AE65" i="12"/>
  <c r="AE66" i="12"/>
  <c r="AE67" i="12"/>
  <c r="AE68" i="12"/>
  <c r="H62" i="7"/>
  <c r="M19" i="7"/>
  <c r="M9" i="7"/>
  <c r="M8" i="7"/>
  <c r="M15" i="7"/>
  <c r="M16" i="7"/>
  <c r="M14" i="7"/>
  <c r="M13" i="7"/>
  <c r="M17" i="7"/>
  <c r="M20" i="7"/>
  <c r="M18" i="7"/>
  <c r="M21" i="7"/>
  <c r="M23" i="7"/>
  <c r="M22" i="7"/>
  <c r="C59" i="3"/>
  <c r="F7" i="3"/>
  <c r="F8" i="3"/>
  <c r="F10" i="3"/>
  <c r="F11" i="3"/>
  <c r="F12" i="3"/>
  <c r="F13" i="3"/>
  <c r="F14" i="3"/>
  <c r="F15" i="3"/>
  <c r="F16" i="3"/>
  <c r="F18" i="3"/>
  <c r="F19" i="3"/>
  <c r="F20" i="3"/>
  <c r="F21" i="3"/>
  <c r="F22" i="3"/>
  <c r="F6" i="3"/>
  <c r="E7" i="3"/>
  <c r="E8" i="3"/>
  <c r="E10" i="3"/>
  <c r="E11" i="3"/>
  <c r="E12" i="3"/>
  <c r="E13" i="3"/>
  <c r="E14" i="3"/>
  <c r="E15" i="3"/>
  <c r="E16" i="3"/>
  <c r="E18" i="3"/>
  <c r="E19" i="3"/>
  <c r="E20" i="3"/>
  <c r="E21" i="3"/>
  <c r="E22" i="3"/>
  <c r="E6" i="3"/>
  <c r="D7" i="3"/>
  <c r="D8" i="3"/>
  <c r="D10" i="3"/>
  <c r="D11" i="3"/>
  <c r="D12" i="3"/>
  <c r="D13" i="3"/>
  <c r="D14" i="3"/>
  <c r="D15" i="3"/>
  <c r="D16" i="3"/>
  <c r="D18" i="3"/>
  <c r="D19" i="3"/>
  <c r="D20" i="3"/>
  <c r="D21" i="3"/>
  <c r="D22" i="3"/>
  <c r="D6" i="3"/>
  <c r="C7" i="3"/>
  <c r="H7" i="3" s="1"/>
  <c r="C8" i="3"/>
  <c r="H8" i="3" s="1"/>
  <c r="C10" i="3"/>
  <c r="H10" i="3" s="1"/>
  <c r="C11" i="3"/>
  <c r="H11" i="3" s="1"/>
  <c r="C12" i="3"/>
  <c r="H12" i="3" s="1"/>
  <c r="C13" i="3"/>
  <c r="H13" i="3" s="1"/>
  <c r="C14" i="3"/>
  <c r="H14" i="3" s="1"/>
  <c r="C15" i="3"/>
  <c r="H15" i="3" s="1"/>
  <c r="C16" i="3"/>
  <c r="H16" i="3" s="1"/>
  <c r="C18" i="3"/>
  <c r="H18" i="3" s="1"/>
  <c r="C19" i="3"/>
  <c r="H19" i="3" s="1"/>
  <c r="C20" i="3"/>
  <c r="H20" i="3" s="1"/>
  <c r="C21" i="3"/>
  <c r="H21" i="3" s="1"/>
  <c r="C22" i="3"/>
  <c r="H22" i="3" s="1"/>
  <c r="C6" i="3"/>
  <c r="H6" i="3" s="1"/>
  <c r="P85" i="13"/>
  <c r="R84" i="13"/>
  <c r="Q84" i="13"/>
  <c r="P84" i="13"/>
  <c r="R83" i="13"/>
  <c r="Q83" i="13"/>
  <c r="P83" i="13"/>
  <c r="R82" i="13"/>
  <c r="Q82" i="13"/>
  <c r="P82" i="13"/>
  <c r="R81" i="13"/>
  <c r="Q81" i="13"/>
  <c r="P81" i="13"/>
  <c r="R80" i="13"/>
  <c r="Q80" i="13"/>
  <c r="P80" i="13"/>
  <c r="R79" i="13"/>
  <c r="Q79" i="13"/>
  <c r="P79" i="13"/>
  <c r="R78" i="13"/>
  <c r="Q78" i="13"/>
  <c r="P78" i="13"/>
  <c r="R77" i="13"/>
  <c r="Q77" i="13"/>
  <c r="P77" i="13"/>
  <c r="R76" i="13"/>
  <c r="Q76" i="13"/>
  <c r="P76" i="13"/>
  <c r="R75" i="13"/>
  <c r="Q75" i="13"/>
  <c r="P75" i="13"/>
  <c r="R74" i="13"/>
  <c r="Q74" i="13"/>
  <c r="P74" i="13"/>
  <c r="R73" i="13"/>
  <c r="Q73" i="13"/>
  <c r="P73" i="13"/>
  <c r="R72" i="13"/>
  <c r="Q72" i="13"/>
  <c r="P72" i="13"/>
  <c r="R71" i="13"/>
  <c r="Q71" i="13"/>
  <c r="P71" i="13"/>
  <c r="R70" i="13"/>
  <c r="Q70" i="13"/>
  <c r="P70" i="13"/>
  <c r="R69" i="13"/>
  <c r="Q69" i="13"/>
  <c r="P69" i="13"/>
  <c r="R68" i="13"/>
  <c r="Q68" i="13"/>
  <c r="P68" i="13"/>
  <c r="R67" i="13"/>
  <c r="Q67" i="13"/>
  <c r="P67" i="13"/>
  <c r="R66" i="13"/>
  <c r="Q66" i="13"/>
  <c r="P66" i="13"/>
  <c r="R65" i="13"/>
  <c r="Q65" i="13"/>
  <c r="P65" i="13"/>
  <c r="R64" i="13"/>
  <c r="Q64" i="13"/>
  <c r="P64" i="13"/>
  <c r="R63" i="13"/>
  <c r="Q63" i="13"/>
  <c r="P63" i="13"/>
  <c r="R62" i="13"/>
  <c r="Q62" i="13"/>
  <c r="P62" i="13"/>
  <c r="R61" i="13"/>
  <c r="Q61" i="13"/>
  <c r="P61" i="13"/>
  <c r="R60" i="13"/>
  <c r="Q60" i="13"/>
  <c r="P60" i="13"/>
  <c r="R57" i="13"/>
  <c r="P57" i="13"/>
  <c r="R56" i="13"/>
  <c r="Q56" i="13"/>
  <c r="P56" i="13"/>
  <c r="R55" i="13"/>
  <c r="Q55" i="13"/>
  <c r="P55" i="13"/>
  <c r="R54" i="13"/>
  <c r="Q54" i="13"/>
  <c r="P54" i="13"/>
  <c r="R53" i="13"/>
  <c r="Q53" i="13"/>
  <c r="P53" i="13"/>
  <c r="R51" i="13"/>
  <c r="P51" i="13"/>
  <c r="R50" i="13"/>
  <c r="Q50" i="13"/>
  <c r="P50" i="13"/>
  <c r="R49" i="13"/>
  <c r="Q49" i="13"/>
  <c r="P49" i="13"/>
  <c r="R48" i="13"/>
  <c r="Q48" i="13"/>
  <c r="P48" i="13"/>
  <c r="R47" i="13"/>
  <c r="Q47" i="13"/>
  <c r="P47" i="13"/>
  <c r="R46" i="13"/>
  <c r="Q46" i="13"/>
  <c r="P46" i="13"/>
  <c r="R45" i="13"/>
  <c r="Q45" i="13"/>
  <c r="P45" i="13"/>
  <c r="R41" i="13"/>
  <c r="Q41" i="13"/>
  <c r="P41" i="13"/>
  <c r="R40" i="13"/>
  <c r="Q40" i="13"/>
  <c r="P40" i="13"/>
  <c r="R39" i="13"/>
  <c r="Q39" i="13"/>
  <c r="P39" i="13"/>
  <c r="R38" i="13"/>
  <c r="Q38" i="13"/>
  <c r="P38" i="13"/>
  <c r="R37" i="13"/>
  <c r="Q37" i="13"/>
  <c r="P37" i="13"/>
  <c r="P36" i="13"/>
  <c r="P35" i="13"/>
  <c r="R34" i="13"/>
  <c r="Q34" i="13"/>
  <c r="P34" i="13"/>
  <c r="R33" i="13"/>
  <c r="Q33" i="13"/>
  <c r="P33" i="13"/>
  <c r="R32" i="13"/>
  <c r="Q32" i="13"/>
  <c r="P32" i="13"/>
  <c r="R31" i="13"/>
  <c r="Q31" i="13"/>
  <c r="P31" i="13"/>
  <c r="R30" i="13"/>
  <c r="Q30" i="13"/>
  <c r="P30" i="13"/>
  <c r="R29" i="13"/>
  <c r="Q29" i="13"/>
  <c r="P29" i="13"/>
  <c r="R28" i="13"/>
  <c r="Q28" i="13"/>
  <c r="P28" i="13"/>
  <c r="R27" i="13"/>
  <c r="Q27" i="13"/>
  <c r="P27" i="13"/>
  <c r="R26" i="13"/>
  <c r="Q26" i="13"/>
  <c r="P26" i="13"/>
  <c r="R25" i="13"/>
  <c r="Q25" i="13"/>
  <c r="P25" i="13"/>
  <c r="R24" i="13"/>
  <c r="Q24" i="13"/>
  <c r="P24" i="13"/>
  <c r="R23" i="13"/>
  <c r="Q23" i="13"/>
  <c r="P23" i="13"/>
  <c r="R22" i="13"/>
  <c r="Q22" i="13"/>
  <c r="P22" i="13"/>
  <c r="R21" i="13"/>
  <c r="Q21" i="13"/>
  <c r="P21" i="13"/>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11" i="13"/>
  <c r="Q11" i="13"/>
  <c r="P11" i="13"/>
  <c r="R10" i="13"/>
  <c r="Q10" i="13"/>
  <c r="P10" i="13"/>
  <c r="R9" i="13"/>
  <c r="Q9" i="13"/>
  <c r="P9" i="13"/>
  <c r="R8" i="13"/>
  <c r="Q8" i="13"/>
  <c r="P8" i="13"/>
  <c r="R7" i="13"/>
  <c r="Q7" i="13"/>
  <c r="P7" i="13"/>
  <c r="R6" i="13"/>
  <c r="Q6" i="13"/>
  <c r="P6" i="13"/>
  <c r="R5" i="13"/>
  <c r="Q5" i="13"/>
  <c r="P5" i="13"/>
  <c r="T90" i="11"/>
  <c r="S90" i="11"/>
  <c r="R90" i="11"/>
  <c r="Q90" i="11"/>
  <c r="P90" i="11"/>
  <c r="O90" i="11"/>
  <c r="N90" i="11"/>
  <c r="M90" i="11"/>
  <c r="L90" i="11"/>
  <c r="K90" i="11"/>
  <c r="T89" i="11"/>
  <c r="S89" i="11"/>
  <c r="R89" i="11"/>
  <c r="Q89" i="11"/>
  <c r="P89" i="11"/>
  <c r="O89" i="11"/>
  <c r="N89" i="11"/>
  <c r="M89" i="11"/>
  <c r="L89" i="11"/>
  <c r="K89" i="11"/>
  <c r="C28" i="11"/>
  <c r="T50" i="11"/>
  <c r="T51" i="11"/>
  <c r="T52" i="11"/>
  <c r="T49" i="11"/>
  <c r="S50" i="11"/>
  <c r="S51" i="11"/>
  <c r="S52" i="11"/>
  <c r="S49" i="11"/>
  <c r="R50" i="11"/>
  <c r="R51" i="11"/>
  <c r="R52" i="11"/>
  <c r="R49" i="11"/>
  <c r="Q50" i="11"/>
  <c r="Q51" i="11"/>
  <c r="Q52" i="11"/>
  <c r="Q49" i="11"/>
  <c r="P50" i="11"/>
  <c r="P51" i="11"/>
  <c r="P52" i="11"/>
  <c r="P49" i="11"/>
  <c r="O50" i="11"/>
  <c r="O51" i="11"/>
  <c r="O52" i="11"/>
  <c r="O49" i="11"/>
  <c r="N50" i="11"/>
  <c r="N51" i="11"/>
  <c r="N52" i="11"/>
  <c r="N49" i="11"/>
  <c r="M50" i="11"/>
  <c r="M51" i="11"/>
  <c r="M52" i="11"/>
  <c r="M49" i="11"/>
  <c r="L50" i="11"/>
  <c r="L51" i="11"/>
  <c r="L52" i="11"/>
  <c r="L49" i="11"/>
  <c r="K50" i="11"/>
  <c r="K51" i="11"/>
  <c r="K52" i="11"/>
  <c r="K49" i="11"/>
  <c r="J50" i="11"/>
  <c r="J51" i="11"/>
  <c r="J52" i="11"/>
  <c r="J49" i="11"/>
  <c r="I50" i="11"/>
  <c r="I51" i="11"/>
  <c r="I52" i="11"/>
  <c r="I49" i="11"/>
  <c r="H50" i="11"/>
  <c r="H51" i="11"/>
  <c r="H52" i="11"/>
  <c r="H49" i="11"/>
  <c r="G50" i="11"/>
  <c r="G51" i="11"/>
  <c r="G52" i="11"/>
  <c r="G49" i="11"/>
  <c r="F50" i="11"/>
  <c r="F51" i="11"/>
  <c r="F52" i="11"/>
  <c r="F49" i="11"/>
  <c r="E50" i="11"/>
  <c r="E51" i="11"/>
  <c r="E52" i="11"/>
  <c r="E49" i="11"/>
  <c r="D50" i="11"/>
  <c r="D51" i="11"/>
  <c r="D52" i="11"/>
  <c r="D49" i="11"/>
  <c r="C50" i="11"/>
  <c r="C51" i="11"/>
  <c r="C52" i="11"/>
  <c r="C49" i="11"/>
  <c r="T29" i="11"/>
  <c r="T30" i="11"/>
  <c r="T31" i="11"/>
  <c r="T32" i="11"/>
  <c r="T33" i="11"/>
  <c r="T34" i="11"/>
  <c r="T35" i="11"/>
  <c r="T36" i="11"/>
  <c r="T37" i="11"/>
  <c r="T38" i="11"/>
  <c r="T39" i="11"/>
  <c r="T40" i="11"/>
  <c r="T41" i="11"/>
  <c r="T42" i="11"/>
  <c r="T43" i="11"/>
  <c r="T44" i="11"/>
  <c r="T28" i="11"/>
  <c r="S29" i="11"/>
  <c r="S30" i="11"/>
  <c r="S31" i="11"/>
  <c r="S32" i="11"/>
  <c r="S33" i="11"/>
  <c r="S34" i="11"/>
  <c r="S35" i="11"/>
  <c r="S36" i="11"/>
  <c r="S37" i="11"/>
  <c r="S38" i="11"/>
  <c r="S39" i="11"/>
  <c r="S40" i="11"/>
  <c r="S41" i="11"/>
  <c r="S42" i="11"/>
  <c r="S43" i="11"/>
  <c r="S44" i="11"/>
  <c r="S28" i="11"/>
  <c r="R29" i="11"/>
  <c r="R30" i="11"/>
  <c r="R31" i="11"/>
  <c r="R32" i="11"/>
  <c r="R33" i="11"/>
  <c r="R34" i="11"/>
  <c r="R35" i="11"/>
  <c r="R36" i="11"/>
  <c r="R37" i="11"/>
  <c r="R38" i="11"/>
  <c r="R39" i="11"/>
  <c r="R40" i="11"/>
  <c r="R41" i="11"/>
  <c r="R42" i="11"/>
  <c r="R43" i="11"/>
  <c r="R44" i="11"/>
  <c r="R28" i="11"/>
  <c r="Q29" i="11"/>
  <c r="Q30" i="11"/>
  <c r="Q31" i="11"/>
  <c r="Q32" i="11"/>
  <c r="Q33" i="11"/>
  <c r="Q34" i="11"/>
  <c r="Q35" i="11"/>
  <c r="Q36" i="11"/>
  <c r="Q37" i="11"/>
  <c r="Q38" i="11"/>
  <c r="Q39" i="11"/>
  <c r="Q40" i="11"/>
  <c r="Q41" i="11"/>
  <c r="Q42" i="11"/>
  <c r="Q43" i="11"/>
  <c r="Q44" i="11"/>
  <c r="Q28" i="11"/>
  <c r="P29" i="11"/>
  <c r="P30" i="11"/>
  <c r="P31" i="11"/>
  <c r="P32" i="11"/>
  <c r="P33" i="11"/>
  <c r="P34" i="11"/>
  <c r="P35" i="11"/>
  <c r="P36" i="11"/>
  <c r="P37" i="11"/>
  <c r="P38" i="11"/>
  <c r="P39" i="11"/>
  <c r="P40" i="11"/>
  <c r="P41" i="11"/>
  <c r="P42" i="11"/>
  <c r="P43" i="11"/>
  <c r="P44" i="11"/>
  <c r="P28" i="11"/>
  <c r="O29" i="11"/>
  <c r="O30" i="11"/>
  <c r="O31" i="11"/>
  <c r="O32" i="11"/>
  <c r="O33" i="11"/>
  <c r="O34" i="11"/>
  <c r="O35" i="11"/>
  <c r="O36" i="11"/>
  <c r="O37" i="11"/>
  <c r="O38" i="11"/>
  <c r="O39" i="11"/>
  <c r="O40" i="11"/>
  <c r="O41" i="11"/>
  <c r="O42" i="11"/>
  <c r="O43" i="11"/>
  <c r="O44" i="11"/>
  <c r="O28" i="11"/>
  <c r="N29" i="11"/>
  <c r="N30" i="11"/>
  <c r="N31" i="11"/>
  <c r="N32" i="11"/>
  <c r="N33" i="11"/>
  <c r="N34" i="11"/>
  <c r="N35" i="11"/>
  <c r="N36" i="11"/>
  <c r="N37" i="11"/>
  <c r="N38" i="11"/>
  <c r="N39" i="11"/>
  <c r="N40" i="11"/>
  <c r="N41" i="11"/>
  <c r="N42" i="11"/>
  <c r="N43" i="11"/>
  <c r="N44" i="11"/>
  <c r="N28" i="11"/>
  <c r="M29" i="11"/>
  <c r="M30" i="11"/>
  <c r="M31" i="11"/>
  <c r="M32" i="11"/>
  <c r="M33" i="11"/>
  <c r="M34" i="11"/>
  <c r="M35" i="11"/>
  <c r="M36" i="11"/>
  <c r="M37" i="11"/>
  <c r="M38" i="11"/>
  <c r="M39" i="11"/>
  <c r="M40" i="11"/>
  <c r="M41" i="11"/>
  <c r="M42" i="11"/>
  <c r="M43" i="11"/>
  <c r="M44" i="11"/>
  <c r="M28" i="11"/>
  <c r="L29" i="11"/>
  <c r="L30" i="11"/>
  <c r="L31" i="11"/>
  <c r="L32" i="11"/>
  <c r="L33" i="11"/>
  <c r="L34" i="11"/>
  <c r="L35" i="11"/>
  <c r="L36" i="11"/>
  <c r="L37" i="11"/>
  <c r="L38" i="11"/>
  <c r="L39" i="11"/>
  <c r="L40" i="11"/>
  <c r="L41" i="11"/>
  <c r="L42" i="11"/>
  <c r="L43" i="11"/>
  <c r="L44" i="11"/>
  <c r="L28" i="11"/>
  <c r="K29" i="11"/>
  <c r="K30" i="11"/>
  <c r="K31" i="11"/>
  <c r="K32" i="11"/>
  <c r="K33" i="11"/>
  <c r="K34" i="11"/>
  <c r="K35" i="11"/>
  <c r="K36" i="11"/>
  <c r="K37" i="11"/>
  <c r="K38" i="11"/>
  <c r="K39" i="11"/>
  <c r="K40" i="11"/>
  <c r="K41" i="11"/>
  <c r="K42" i="11"/>
  <c r="K43" i="11"/>
  <c r="K44" i="11"/>
  <c r="K28" i="11"/>
  <c r="J29" i="11"/>
  <c r="J30" i="11"/>
  <c r="J31" i="11"/>
  <c r="J32" i="11"/>
  <c r="J33" i="11"/>
  <c r="J34" i="11"/>
  <c r="J35" i="11"/>
  <c r="J36" i="11"/>
  <c r="J37" i="11"/>
  <c r="J38" i="11"/>
  <c r="J39" i="11"/>
  <c r="J40" i="11"/>
  <c r="J41" i="11"/>
  <c r="J42" i="11"/>
  <c r="J43" i="11"/>
  <c r="J44" i="11"/>
  <c r="J28" i="11"/>
  <c r="I29" i="11"/>
  <c r="I30" i="11"/>
  <c r="I31" i="11"/>
  <c r="I32" i="11"/>
  <c r="I33" i="11"/>
  <c r="I34" i="11"/>
  <c r="I35" i="11"/>
  <c r="I36" i="11"/>
  <c r="I37" i="11"/>
  <c r="I38" i="11"/>
  <c r="I39" i="11"/>
  <c r="I40" i="11"/>
  <c r="I41" i="11"/>
  <c r="I42" i="11"/>
  <c r="I43" i="11"/>
  <c r="I44" i="11"/>
  <c r="I28" i="11"/>
  <c r="H29" i="11"/>
  <c r="H30" i="11"/>
  <c r="H31" i="11"/>
  <c r="H32" i="11"/>
  <c r="H33" i="11"/>
  <c r="H34" i="11"/>
  <c r="H35" i="11"/>
  <c r="H36" i="11"/>
  <c r="H37" i="11"/>
  <c r="H38" i="11"/>
  <c r="H39" i="11"/>
  <c r="H40" i="11"/>
  <c r="H41" i="11"/>
  <c r="H42" i="11"/>
  <c r="H43" i="11"/>
  <c r="H44" i="11"/>
  <c r="H28" i="11"/>
  <c r="G29" i="11"/>
  <c r="G30" i="11"/>
  <c r="G31" i="11"/>
  <c r="G32" i="11"/>
  <c r="G33" i="11"/>
  <c r="G34" i="11"/>
  <c r="G35" i="11"/>
  <c r="G36" i="11"/>
  <c r="G37" i="11"/>
  <c r="G38" i="11"/>
  <c r="G39" i="11"/>
  <c r="G40" i="11"/>
  <c r="G41" i="11"/>
  <c r="G42" i="11"/>
  <c r="G43" i="11"/>
  <c r="G44" i="11"/>
  <c r="G28" i="11"/>
  <c r="F29" i="11"/>
  <c r="F30" i="11"/>
  <c r="F31" i="11"/>
  <c r="F32" i="11"/>
  <c r="F33" i="11"/>
  <c r="F34" i="11"/>
  <c r="F35" i="11"/>
  <c r="F36" i="11"/>
  <c r="F37" i="11"/>
  <c r="F38" i="11"/>
  <c r="F39" i="11"/>
  <c r="F40" i="11"/>
  <c r="F41" i="11"/>
  <c r="F42" i="11"/>
  <c r="F43" i="11"/>
  <c r="F44" i="11"/>
  <c r="F28" i="11"/>
  <c r="E44" i="11"/>
  <c r="E43" i="11"/>
  <c r="E42" i="11"/>
  <c r="E41" i="11"/>
  <c r="E40" i="11"/>
  <c r="E39" i="11"/>
  <c r="E38" i="11"/>
  <c r="E37" i="11"/>
  <c r="E36" i="11"/>
  <c r="E35" i="11"/>
  <c r="E34" i="11"/>
  <c r="E33" i="11"/>
  <c r="E32" i="11"/>
  <c r="E31" i="11"/>
  <c r="E30" i="11"/>
  <c r="E29" i="11"/>
  <c r="E28" i="11"/>
  <c r="C32" i="11"/>
  <c r="C31" i="11"/>
  <c r="C30" i="11"/>
  <c r="C29" i="11"/>
  <c r="D36" i="11"/>
  <c r="D34" i="11"/>
  <c r="D33" i="11"/>
  <c r="D32" i="11"/>
  <c r="D31" i="11"/>
  <c r="D30" i="11"/>
  <c r="D29" i="11"/>
  <c r="D35" i="11"/>
  <c r="D37" i="11"/>
  <c r="D38" i="11"/>
  <c r="D39" i="11"/>
  <c r="D40" i="11"/>
  <c r="D41" i="11"/>
  <c r="D42" i="11"/>
  <c r="D43" i="11"/>
  <c r="D44" i="11"/>
  <c r="D28" i="11"/>
  <c r="C33" i="11"/>
  <c r="C34" i="11"/>
  <c r="C35" i="11"/>
  <c r="C36" i="11"/>
  <c r="C37" i="11"/>
  <c r="C38" i="11"/>
  <c r="C39" i="11"/>
  <c r="C40" i="11"/>
  <c r="C41" i="11"/>
  <c r="C42" i="11"/>
  <c r="C43" i="11"/>
  <c r="C44" i="11"/>
  <c r="F12" i="11"/>
  <c r="E12" i="11"/>
  <c r="D12" i="11"/>
  <c r="C12" i="11"/>
  <c r="F7" i="11"/>
  <c r="F8" i="11"/>
  <c r="F9" i="11"/>
  <c r="F10" i="11"/>
  <c r="F11" i="11"/>
  <c r="F14" i="11"/>
  <c r="F15" i="11"/>
  <c r="F16" i="11"/>
  <c r="F17" i="11"/>
  <c r="F20" i="11"/>
  <c r="F18" i="11"/>
  <c r="F21" i="11"/>
  <c r="F22" i="11"/>
  <c r="F6" i="11"/>
  <c r="E7" i="11"/>
  <c r="E8" i="11"/>
  <c r="E9" i="11"/>
  <c r="E10" i="11"/>
  <c r="E11" i="11"/>
  <c r="E14" i="11"/>
  <c r="E15" i="11"/>
  <c r="E16" i="11"/>
  <c r="E17" i="11"/>
  <c r="E20" i="11"/>
  <c r="E18" i="11"/>
  <c r="E21" i="11"/>
  <c r="E22" i="11"/>
  <c r="E6" i="11"/>
  <c r="D7" i="11"/>
  <c r="D8" i="11"/>
  <c r="D9" i="11"/>
  <c r="D10" i="11"/>
  <c r="D11" i="11"/>
  <c r="D14" i="11"/>
  <c r="D15" i="11"/>
  <c r="D16" i="11"/>
  <c r="D17" i="11"/>
  <c r="D20" i="11"/>
  <c r="D18" i="11"/>
  <c r="D21" i="11"/>
  <c r="D22" i="11"/>
  <c r="D6" i="11"/>
  <c r="C7" i="11"/>
  <c r="C8" i="11"/>
  <c r="C9" i="11"/>
  <c r="G9" i="11" s="1"/>
  <c r="C10" i="11"/>
  <c r="G10" i="11" s="1"/>
  <c r="C11" i="11"/>
  <c r="C14" i="11"/>
  <c r="G14" i="11" s="1"/>
  <c r="C15" i="11"/>
  <c r="G15" i="11" s="1"/>
  <c r="C16" i="11"/>
  <c r="C17" i="11"/>
  <c r="C20" i="11"/>
  <c r="C18" i="11"/>
  <c r="C21" i="11"/>
  <c r="G21" i="11" s="1"/>
  <c r="C22" i="11"/>
  <c r="C6" i="11"/>
  <c r="G6" i="11" s="1"/>
  <c r="BE68" i="12"/>
  <c r="BD68" i="12" s="1"/>
  <c r="AF68" i="12"/>
  <c r="BE67" i="12"/>
  <c r="BD67" i="12" s="1"/>
  <c r="AF67" i="12"/>
  <c r="BE66" i="12"/>
  <c r="BD66" i="12" s="1"/>
  <c r="AF66" i="12"/>
  <c r="BE65" i="12"/>
  <c r="BD65" i="12" s="1"/>
  <c r="AF65" i="12"/>
  <c r="BE64" i="12"/>
  <c r="BD64" i="12" s="1"/>
  <c r="AF64" i="12"/>
  <c r="BE63" i="12"/>
  <c r="BD63" i="12" s="1"/>
  <c r="AF63" i="12"/>
  <c r="BE62" i="12"/>
  <c r="BD62" i="12" s="1"/>
  <c r="AF62" i="12"/>
  <c r="BE61" i="12"/>
  <c r="BD61" i="12" s="1"/>
  <c r="AF61" i="12"/>
  <c r="BE60" i="12"/>
  <c r="BD60" i="12" s="1"/>
  <c r="AF60" i="12"/>
  <c r="BE59" i="12"/>
  <c r="BD59" i="12" s="1"/>
  <c r="AF59" i="12"/>
  <c r="BE58" i="12"/>
  <c r="BD58" i="12" s="1"/>
  <c r="AF58" i="12"/>
  <c r="BE57" i="12"/>
  <c r="BD57" i="12" s="1"/>
  <c r="AF57" i="12"/>
  <c r="BE56" i="12"/>
  <c r="BD56" i="12" s="1"/>
  <c r="AF56" i="12"/>
  <c r="BE55" i="12"/>
  <c r="BD55" i="12" s="1"/>
  <c r="AF55" i="12"/>
  <c r="BE53" i="12"/>
  <c r="BD53" i="12" s="1"/>
  <c r="AF53" i="12"/>
  <c r="BE52" i="12"/>
  <c r="BD52" i="12" s="1"/>
  <c r="AF52" i="12"/>
  <c r="BE51" i="12"/>
  <c r="BD51" i="12" s="1"/>
  <c r="AF51" i="12"/>
  <c r="BE50" i="12"/>
  <c r="BD50" i="12" s="1"/>
  <c r="AF50" i="12"/>
  <c r="BE49" i="12"/>
  <c r="BD49" i="12" s="1"/>
  <c r="AF49" i="12"/>
  <c r="BE48" i="12"/>
  <c r="BD48" i="12" s="1"/>
  <c r="AF48" i="12"/>
  <c r="BE47" i="12"/>
  <c r="BD47" i="12" s="1"/>
  <c r="AF47" i="12"/>
  <c r="BE46" i="12"/>
  <c r="BD46" i="12" s="1"/>
  <c r="AF46" i="12"/>
  <c r="BE45" i="12"/>
  <c r="BD45" i="12" s="1"/>
  <c r="AF45" i="12"/>
  <c r="BE44" i="12"/>
  <c r="BD44" i="12" s="1"/>
  <c r="AF44" i="12"/>
  <c r="BE43" i="12"/>
  <c r="BD43" i="12" s="1"/>
  <c r="AF43" i="12"/>
  <c r="BE42" i="12"/>
  <c r="BD42" i="12" s="1"/>
  <c r="AF42" i="12"/>
  <c r="BE41" i="12"/>
  <c r="BD41" i="12" s="1"/>
  <c r="AF41" i="12"/>
  <c r="BE40" i="12"/>
  <c r="BD40" i="12" s="1"/>
  <c r="AF40" i="12"/>
  <c r="BE39" i="12"/>
  <c r="BD39" i="12" s="1"/>
  <c r="AF39" i="12"/>
  <c r="BE38" i="12"/>
  <c r="BD38" i="12" s="1"/>
  <c r="AF38" i="12"/>
  <c r="BE37" i="12"/>
  <c r="BD37" i="12" s="1"/>
  <c r="AF37" i="12"/>
  <c r="BE36" i="12"/>
  <c r="BD36" i="12" s="1"/>
  <c r="AF36" i="12"/>
  <c r="BE34" i="12"/>
  <c r="BD34" i="12" s="1"/>
  <c r="AF34" i="12"/>
  <c r="BE33" i="12"/>
  <c r="BD33" i="12" s="1"/>
  <c r="AF33" i="12"/>
  <c r="BE32" i="12"/>
  <c r="BD32" i="12" s="1"/>
  <c r="AF32" i="12"/>
  <c r="BE30" i="12"/>
  <c r="BD30" i="12" s="1"/>
  <c r="AF30" i="12"/>
  <c r="BE29" i="12"/>
  <c r="BD29" i="12" s="1"/>
  <c r="AF29" i="12"/>
  <c r="BE28" i="12"/>
  <c r="BD28" i="12" s="1"/>
  <c r="AF28" i="12"/>
  <c r="BE27" i="12"/>
  <c r="BD27" i="12" s="1"/>
  <c r="AF27" i="12"/>
  <c r="BE26" i="12"/>
  <c r="BD26" i="12" s="1"/>
  <c r="AF26" i="12"/>
  <c r="BE25" i="12"/>
  <c r="BD25" i="12" s="1"/>
  <c r="AF25" i="12"/>
  <c r="BE24" i="12"/>
  <c r="BD24" i="12" s="1"/>
  <c r="AF24" i="12"/>
  <c r="BE23" i="12"/>
  <c r="BD23" i="12" s="1"/>
  <c r="AF23" i="12"/>
  <c r="BE22" i="12"/>
  <c r="BD22" i="12" s="1"/>
  <c r="AF22" i="12"/>
  <c r="BE21" i="12"/>
  <c r="BD21" i="12" s="1"/>
  <c r="AF21" i="12"/>
  <c r="BE20" i="12"/>
  <c r="BD20" i="12" s="1"/>
  <c r="AF20" i="12"/>
  <c r="BE19" i="12"/>
  <c r="BD19" i="12" s="1"/>
  <c r="AF19" i="12"/>
  <c r="BD17" i="12"/>
  <c r="AF17" i="12"/>
  <c r="BE16" i="12"/>
  <c r="BD16" i="12" s="1"/>
  <c r="AF16" i="12"/>
  <c r="BE15" i="12"/>
  <c r="BD15" i="12" s="1"/>
  <c r="AF15" i="12"/>
  <c r="BE14" i="12"/>
  <c r="BD14" i="12" s="1"/>
  <c r="AF14" i="12"/>
  <c r="BE13" i="12"/>
  <c r="BD13" i="12" s="1"/>
  <c r="AF13" i="12"/>
  <c r="BE12" i="12"/>
  <c r="BD12" i="12" s="1"/>
  <c r="AF12" i="12"/>
  <c r="BE11" i="12"/>
  <c r="BD11" i="12" s="1"/>
  <c r="AF11" i="12"/>
  <c r="BE10" i="12"/>
  <c r="BD10" i="12" s="1"/>
  <c r="AF10" i="12"/>
  <c r="BE9" i="12"/>
  <c r="BD9" i="12" s="1"/>
  <c r="AF9" i="12"/>
  <c r="BE7" i="12"/>
  <c r="BD7" i="12" s="1"/>
  <c r="AF7" i="12"/>
  <c r="BE6" i="12"/>
  <c r="BD6" i="12" s="1"/>
  <c r="AF6" i="12"/>
  <c r="AF5" i="12"/>
  <c r="H76" i="7"/>
  <c r="G76" i="7"/>
  <c r="F76" i="7"/>
  <c r="E76" i="7"/>
  <c r="D76" i="7"/>
  <c r="C76" i="7"/>
  <c r="H75" i="7"/>
  <c r="G75" i="7"/>
  <c r="F75" i="7"/>
  <c r="E75" i="7"/>
  <c r="D75" i="7"/>
  <c r="C75" i="7"/>
  <c r="H74" i="7"/>
  <c r="G74" i="7"/>
  <c r="F74" i="7"/>
  <c r="E74" i="7"/>
  <c r="D74" i="7"/>
  <c r="C74" i="7"/>
  <c r="H73" i="7"/>
  <c r="G73" i="7"/>
  <c r="F73" i="7"/>
  <c r="E73" i="7"/>
  <c r="D73" i="7"/>
  <c r="C73" i="7"/>
  <c r="H72" i="7"/>
  <c r="G72" i="7"/>
  <c r="F72" i="7"/>
  <c r="E72" i="7"/>
  <c r="D72" i="7"/>
  <c r="C72" i="7"/>
  <c r="H71" i="7"/>
  <c r="G71" i="7"/>
  <c r="F71" i="7"/>
  <c r="E71" i="7"/>
  <c r="D71" i="7"/>
  <c r="C71" i="7"/>
  <c r="H70" i="7"/>
  <c r="G70" i="7"/>
  <c r="F70" i="7"/>
  <c r="E70" i="7"/>
  <c r="D70" i="7"/>
  <c r="C70" i="7"/>
  <c r="H69" i="7"/>
  <c r="G69" i="7"/>
  <c r="F69" i="7"/>
  <c r="E69" i="7"/>
  <c r="D69" i="7"/>
  <c r="C69" i="7"/>
  <c r="H68" i="7"/>
  <c r="G68" i="7"/>
  <c r="F68" i="7"/>
  <c r="E68" i="7"/>
  <c r="D68" i="7"/>
  <c r="C68" i="7"/>
  <c r="H67" i="7"/>
  <c r="G67" i="7"/>
  <c r="F67" i="7"/>
  <c r="E67" i="7"/>
  <c r="D67" i="7"/>
  <c r="C67" i="7"/>
  <c r="H66" i="7"/>
  <c r="G66" i="7"/>
  <c r="F66" i="7"/>
  <c r="E66" i="7"/>
  <c r="D66" i="7"/>
  <c r="C66" i="7"/>
  <c r="H65" i="7"/>
  <c r="G65" i="7"/>
  <c r="F65" i="7"/>
  <c r="E65" i="7"/>
  <c r="D65" i="7"/>
  <c r="C65" i="7"/>
  <c r="H64" i="7"/>
  <c r="G64" i="7"/>
  <c r="F64" i="7"/>
  <c r="E64" i="7"/>
  <c r="D64" i="7"/>
  <c r="C64" i="7"/>
  <c r="H63" i="7"/>
  <c r="G63" i="7"/>
  <c r="F63" i="7"/>
  <c r="E63" i="7"/>
  <c r="D63" i="7"/>
  <c r="C63" i="7"/>
  <c r="G62" i="7"/>
  <c r="F62" i="7"/>
  <c r="E62" i="7"/>
  <c r="D62" i="7"/>
  <c r="C62" i="7"/>
  <c r="H61" i="7"/>
  <c r="G61" i="7"/>
  <c r="F61" i="7"/>
  <c r="E61" i="7"/>
  <c r="D61" i="7"/>
  <c r="C61" i="7"/>
  <c r="G60" i="7"/>
  <c r="F60" i="7"/>
  <c r="E60" i="7"/>
  <c r="D60" i="7"/>
  <c r="C60" i="7"/>
  <c r="N22" i="7"/>
  <c r="N23" i="7"/>
  <c r="N21" i="7"/>
  <c r="N18" i="7"/>
  <c r="N20" i="7"/>
  <c r="N17" i="7"/>
  <c r="N19" i="7"/>
  <c r="N13" i="7"/>
  <c r="N14" i="7"/>
  <c r="N16" i="7"/>
  <c r="N15" i="7"/>
  <c r="N11" i="7"/>
  <c r="N8" i="7"/>
  <c r="M24" i="7" l="1"/>
  <c r="G7" i="11"/>
  <c r="G20" i="11"/>
  <c r="G8" i="11"/>
  <c r="G22" i="11"/>
  <c r="G11" i="11"/>
  <c r="G17" i="11"/>
  <c r="G16" i="11"/>
  <c r="G18" i="11"/>
  <c r="BE69" i="12"/>
  <c r="BD69" i="12"/>
  <c r="AF69" i="12"/>
  <c r="C126" i="11" s="1"/>
  <c r="T45" i="11"/>
  <c r="U52" i="11"/>
  <c r="U51" i="11"/>
  <c r="C53" i="11"/>
  <c r="C57" i="3"/>
  <c r="Q86" i="13"/>
  <c r="R86" i="13"/>
  <c r="P86" i="13"/>
  <c r="G59" i="3" s="1"/>
  <c r="C56" i="3"/>
  <c r="C23" i="3"/>
  <c r="U49" i="11"/>
  <c r="U89" i="11"/>
  <c r="U50" i="11"/>
  <c r="S91" i="11"/>
  <c r="K91" i="11"/>
  <c r="G91" i="11"/>
  <c r="J91" i="11"/>
  <c r="R91" i="11"/>
  <c r="C91" i="11"/>
  <c r="S45" i="11"/>
  <c r="R45" i="11"/>
  <c r="F23" i="11"/>
  <c r="G12" i="11"/>
  <c r="M91" i="11"/>
  <c r="O91" i="11"/>
  <c r="D23" i="11"/>
  <c r="F45" i="11"/>
  <c r="D53" i="11"/>
  <c r="L53" i="11"/>
  <c r="T53" i="11"/>
  <c r="P53" i="11"/>
  <c r="D91" i="11"/>
  <c r="L91" i="11"/>
  <c r="T91" i="11"/>
  <c r="E53" i="11"/>
  <c r="M53" i="11"/>
  <c r="H53" i="11"/>
  <c r="H45" i="11"/>
  <c r="F53" i="11"/>
  <c r="N53" i="11"/>
  <c r="I45" i="11"/>
  <c r="G45" i="11"/>
  <c r="G53" i="11"/>
  <c r="O53" i="11"/>
  <c r="U90" i="11"/>
  <c r="J45" i="11"/>
  <c r="F91" i="11"/>
  <c r="N91" i="11"/>
  <c r="E23" i="11"/>
  <c r="C45" i="11"/>
  <c r="K45" i="11"/>
  <c r="I53" i="11"/>
  <c r="Q53" i="11"/>
  <c r="D45" i="11"/>
  <c r="J53" i="11"/>
  <c r="R53" i="11"/>
  <c r="H91" i="11"/>
  <c r="P91" i="11"/>
  <c r="K53" i="11"/>
  <c r="S53" i="11"/>
  <c r="I91" i="11"/>
  <c r="Q91" i="11"/>
  <c r="C23" i="11"/>
  <c r="E91" i="11"/>
  <c r="C128" i="11" l="1"/>
  <c r="C127" i="11"/>
  <c r="C129" i="11"/>
  <c r="U53" i="11"/>
  <c r="G57" i="3"/>
  <c r="G56" i="3"/>
  <c r="G58" i="3"/>
  <c r="Q45" i="11"/>
  <c r="N45" i="11"/>
  <c r="P45" i="11"/>
  <c r="M45" i="11"/>
  <c r="U28" i="11"/>
  <c r="L45" i="11"/>
  <c r="O45" i="11"/>
  <c r="G23" i="11"/>
  <c r="U91" i="11"/>
  <c r="U36" i="11" l="1"/>
  <c r="U37" i="11"/>
  <c r="U38" i="11"/>
  <c r="U44" i="11"/>
  <c r="U30" i="11" l="1"/>
  <c r="U29" i="11"/>
  <c r="U35" i="11"/>
  <c r="U40" i="11"/>
  <c r="U43" i="11"/>
  <c r="U42" i="11"/>
  <c r="U34" i="11"/>
  <c r="U41" i="11"/>
  <c r="U33" i="11"/>
  <c r="U32" i="11"/>
  <c r="U39" i="11"/>
  <c r="U31" i="11"/>
  <c r="E45" i="11" l="1"/>
  <c r="U45" i="11" s="1"/>
  <c r="G77" i="7" l="1"/>
  <c r="F77" i="7"/>
  <c r="E77" i="7"/>
  <c r="C77" i="7"/>
  <c r="N24" i="7"/>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K21" i="7" s="1"/>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K12" i="7" s="1"/>
  <c r="J59" i="6"/>
  <c r="J58" i="6"/>
  <c r="J57" i="6"/>
  <c r="J56" i="6"/>
  <c r="J55" i="6"/>
  <c r="J54" i="6"/>
  <c r="J53" i="6"/>
  <c r="J52" i="6"/>
  <c r="K16" i="7" s="1"/>
  <c r="J51" i="6"/>
  <c r="K19" i="7" s="1"/>
  <c r="J50" i="6"/>
  <c r="J49" i="6"/>
  <c r="J48" i="6"/>
  <c r="J47" i="6"/>
  <c r="J46" i="6"/>
  <c r="J45" i="6"/>
  <c r="J44" i="6"/>
  <c r="J43" i="6"/>
  <c r="J42" i="6"/>
  <c r="J41" i="6"/>
  <c r="J40" i="6"/>
  <c r="J39" i="6"/>
  <c r="J38" i="6"/>
  <c r="J37" i="6"/>
  <c r="J36" i="6"/>
  <c r="J35" i="6"/>
  <c r="J34" i="6"/>
  <c r="K13" i="7" s="1"/>
  <c r="J33" i="6"/>
  <c r="J32" i="6"/>
  <c r="J31" i="6"/>
  <c r="J30" i="6"/>
  <c r="J29" i="6"/>
  <c r="J28" i="6"/>
  <c r="J27" i="6"/>
  <c r="J26" i="6"/>
  <c r="K7" i="7" s="1"/>
  <c r="J25" i="6"/>
  <c r="J24" i="6"/>
  <c r="E23" i="3"/>
  <c r="D23" i="3"/>
  <c r="K15" i="7" l="1"/>
  <c r="K18" i="7"/>
  <c r="K17" i="7"/>
  <c r="K9" i="7"/>
  <c r="C22" i="7"/>
  <c r="K22" i="7"/>
  <c r="K10" i="7"/>
  <c r="C14" i="7"/>
  <c r="K14" i="7"/>
  <c r="C23" i="7"/>
  <c r="K23" i="7"/>
  <c r="K11" i="7"/>
  <c r="K8" i="7"/>
  <c r="C20" i="7"/>
  <c r="K20" i="7"/>
  <c r="C16" i="7"/>
  <c r="G10" i="7"/>
  <c r="F10" i="7"/>
  <c r="J10" i="7"/>
  <c r="H10" i="7"/>
  <c r="C10" i="7"/>
  <c r="I10" i="7"/>
  <c r="E10" i="7"/>
  <c r="D10" i="7"/>
  <c r="J12" i="7"/>
  <c r="C12" i="7"/>
  <c r="D12" i="7"/>
  <c r="E12" i="7"/>
  <c r="F12" i="7"/>
  <c r="G12" i="7"/>
  <c r="H12" i="7"/>
  <c r="I12" i="7"/>
  <c r="C18" i="7"/>
  <c r="C15" i="7"/>
  <c r="C9" i="7"/>
  <c r="C7" i="7"/>
  <c r="C11" i="7"/>
  <c r="C21" i="7"/>
  <c r="C13" i="7"/>
  <c r="D19" i="7"/>
  <c r="C19" i="7"/>
  <c r="J19" i="7"/>
  <c r="C8" i="7"/>
  <c r="C17" i="7"/>
  <c r="J17" i="7"/>
  <c r="D7" i="7"/>
  <c r="H7" i="7"/>
  <c r="G7" i="7"/>
  <c r="F7" i="7"/>
  <c r="E7" i="7"/>
  <c r="J7" i="7"/>
  <c r="I7" i="7"/>
  <c r="H19" i="7"/>
  <c r="G19" i="7"/>
  <c r="F19" i="7"/>
  <c r="I19" i="7"/>
  <c r="E19" i="7"/>
  <c r="D13" i="7"/>
  <c r="G13" i="7"/>
  <c r="F13" i="7"/>
  <c r="I13" i="7"/>
  <c r="H13" i="7"/>
  <c r="E13" i="7"/>
  <c r="J13" i="7"/>
  <c r="F18" i="7"/>
  <c r="E18" i="7"/>
  <c r="D18" i="7"/>
  <c r="H18" i="7"/>
  <c r="G18" i="7"/>
  <c r="J18" i="7"/>
  <c r="I18" i="7"/>
  <c r="G16" i="7"/>
  <c r="F16" i="7"/>
  <c r="E16" i="7"/>
  <c r="J16" i="7"/>
  <c r="D16" i="7"/>
  <c r="I16" i="7"/>
  <c r="H16" i="7"/>
  <c r="F21" i="7"/>
  <c r="J21" i="7"/>
  <c r="I21" i="7"/>
  <c r="E21" i="7"/>
  <c r="H21" i="7"/>
  <c r="D21" i="7"/>
  <c r="G21" i="7"/>
  <c r="I22" i="7"/>
  <c r="G22" i="7"/>
  <c r="H22" i="7"/>
  <c r="F22" i="7"/>
  <c r="E22" i="7"/>
  <c r="D22" i="7"/>
  <c r="J22" i="7"/>
  <c r="D8" i="7"/>
  <c r="I8" i="7"/>
  <c r="H8" i="7"/>
  <c r="G8" i="7"/>
  <c r="J8" i="7"/>
  <c r="F8" i="7"/>
  <c r="E8" i="7"/>
  <c r="E17" i="7"/>
  <c r="D17" i="7"/>
  <c r="I17" i="7"/>
  <c r="G17" i="7"/>
  <c r="F17" i="7"/>
  <c r="H17" i="7"/>
  <c r="F15" i="7"/>
  <c r="J15" i="7"/>
  <c r="E15" i="7"/>
  <c r="H15" i="7"/>
  <c r="D15" i="7"/>
  <c r="G15" i="7"/>
  <c r="I15" i="7"/>
  <c r="G23" i="7"/>
  <c r="F23" i="7"/>
  <c r="E23" i="7"/>
  <c r="J23" i="7"/>
  <c r="D23" i="7"/>
  <c r="I23" i="7"/>
  <c r="H23" i="7"/>
  <c r="E11" i="7"/>
  <c r="J11" i="7"/>
  <c r="H11" i="7"/>
  <c r="D11" i="7"/>
  <c r="G11" i="7"/>
  <c r="F11" i="7"/>
  <c r="I11" i="7"/>
  <c r="J14" i="7"/>
  <c r="G14" i="7"/>
  <c r="H14" i="7"/>
  <c r="F14" i="7"/>
  <c r="E14" i="7"/>
  <c r="I14" i="7"/>
  <c r="D14" i="7"/>
  <c r="E20" i="7"/>
  <c r="D20" i="7"/>
  <c r="J20" i="7"/>
  <c r="G20" i="7"/>
  <c r="I20" i="7"/>
  <c r="H20" i="7"/>
  <c r="F20" i="7"/>
  <c r="D9" i="7"/>
  <c r="G9" i="7"/>
  <c r="F9" i="7"/>
  <c r="J9" i="7"/>
  <c r="I9" i="7"/>
  <c r="E9" i="7"/>
  <c r="H9" i="7"/>
  <c r="I64" i="7"/>
  <c r="I68" i="7"/>
  <c r="I72" i="7"/>
  <c r="I76" i="7"/>
  <c r="D77" i="7"/>
  <c r="F23" i="3"/>
  <c r="H23" i="3" s="1"/>
  <c r="I63" i="7"/>
  <c r="I67" i="7"/>
  <c r="I71" i="7"/>
  <c r="I75" i="7"/>
  <c r="I62" i="7"/>
  <c r="I66" i="7"/>
  <c r="I70" i="7"/>
  <c r="I74" i="7"/>
  <c r="H77" i="7"/>
  <c r="I61" i="7"/>
  <c r="I65" i="7"/>
  <c r="I69" i="7"/>
  <c r="I73" i="7"/>
  <c r="I60" i="7"/>
  <c r="K24" i="7" l="1"/>
  <c r="L8" i="7"/>
  <c r="L9" i="7"/>
  <c r="L15" i="7"/>
  <c r="L12" i="7"/>
  <c r="L23" i="7"/>
  <c r="L19" i="7"/>
  <c r="L18" i="7"/>
  <c r="L16" i="7"/>
  <c r="L14" i="7"/>
  <c r="L13" i="7"/>
  <c r="L21" i="7"/>
  <c r="L20" i="7"/>
  <c r="L11" i="7"/>
  <c r="L10" i="7"/>
  <c r="L22" i="7"/>
  <c r="L17" i="7"/>
  <c r="L7" i="7"/>
  <c r="C24" i="7"/>
  <c r="D24" i="7"/>
  <c r="I24" i="7"/>
  <c r="E24" i="7"/>
  <c r="J24" i="7"/>
  <c r="F24" i="7"/>
  <c r="G24" i="7"/>
  <c r="H24" i="7"/>
  <c r="I77" i="7"/>
  <c r="L24" i="7" l="1"/>
</calcChain>
</file>

<file path=xl/sharedStrings.xml><?xml version="1.0" encoding="utf-8"?>
<sst xmlns="http://schemas.openxmlformats.org/spreadsheetml/2006/main" count="6265" uniqueCount="2490">
  <si>
    <t>IGES Joint Crediting Mechanism (JCM) Database</t>
  </si>
  <si>
    <r>
      <t>IGES Joint Crediting Mechanism (JCM) Database provides detailed information on the JCM methodologies, projects, and JCM feasibility studies to be utilized for research and development of JCM project. The JCM is being implemented under bilateral cooperation between Japan and 17 partner countries:</t>
    </r>
    <r>
      <rPr>
        <i/>
        <sz val="14"/>
        <color rgb="FF000000"/>
        <rFont val="Arial"/>
        <family val="2"/>
      </rPr>
      <t xml:space="preserve"> Mongolia, Bangladesh, Ethiopia, Kenya, Maldives, Viet Nam, Lao PDR, Indonesia, Costa Rica, Palau, Cambodia, Mexico, Saudi Arabia, Chile, Myanmar, Thailand and the Philippines</t>
    </r>
    <r>
      <rPr>
        <b/>
        <sz val="14"/>
        <color rgb="FF000000"/>
        <rFont val="Arial"/>
        <family val="2"/>
      </rPr>
      <t xml:space="preserve"> </t>
    </r>
    <r>
      <rPr>
        <sz val="14"/>
        <color rgb="FF000000"/>
        <rFont val="Arial"/>
        <family val="2"/>
      </rPr>
      <t xml:space="preserve">as well as non-signatory partner countries. </t>
    </r>
    <r>
      <rPr>
        <sz val="14"/>
        <rFont val="Arial"/>
        <family val="2"/>
      </rPr>
      <t>The JCM as a bilateral scheme is being implemented in accordance with the relevant domestic laws and regulations in force in respective countries and bilateral discussions between governments.</t>
    </r>
    <phoneticPr fontId="8"/>
  </si>
  <si>
    <t>History</t>
  </si>
  <si>
    <t>Content of this database</t>
  </si>
  <si>
    <t>Abbreviations used in this database</t>
  </si>
  <si>
    <t>AM: Approved Methodologies</t>
  </si>
  <si>
    <t>JC: JCM Joint Committee</t>
  </si>
  <si>
    <t>MOC: Modalities of Communication</t>
  </si>
  <si>
    <t>PDD: Project Design Document</t>
  </si>
  <si>
    <t>PM: Proposed Methodology</t>
  </si>
  <si>
    <t>PP: Project Participant(s)</t>
  </si>
  <si>
    <t>TPE: Third-Party Entity</t>
  </si>
  <si>
    <t>Approved Methodologies Sheet</t>
  </si>
  <si>
    <t>Project Data Sheet</t>
  </si>
  <si>
    <t>JCM methodology number</t>
  </si>
  <si>
    <t>Status</t>
  </si>
  <si>
    <t>Identification number assigned to each approved methodology.</t>
  </si>
  <si>
    <t>Project status within the JCM project cycle, based on the JCM website. Status categories in this database are:</t>
  </si>
  <si>
    <t xml:space="preserve">    RD: Project which is registered by the JCM Joint Committee</t>
  </si>
  <si>
    <t xml:space="preserve">Type of project </t>
  </si>
  <si>
    <t xml:space="preserve">    IC: Issued credits (1st issuance (IC-1), 2nd issuance (IC-2), 3rd issuance (IC-3), etc.)</t>
  </si>
  <si>
    <t xml:space="preserve">Determined by the editor referring to the information described by each Approved Methodology. </t>
  </si>
  <si>
    <t>Project Participant (Host Country and Japan)</t>
  </si>
  <si>
    <t>PM No.</t>
  </si>
  <si>
    <t xml:space="preserve">Project participants listed in the MOC submitted at the time of requesting registration. </t>
  </si>
  <si>
    <t>Identification number assigned to each proposed methodology.</t>
  </si>
  <si>
    <t>Type of project</t>
  </si>
  <si>
    <t>Public inputs/comments start and end date</t>
  </si>
  <si>
    <t>Determined by the editor referring to the PDD section ‘A. Project description’ and the AM(s) applied to the project.</t>
  </si>
  <si>
    <t>Each PM is open for public inputs/comments for 15 calendar days. Dates are in DD/MM/YYYY.</t>
  </si>
  <si>
    <t>Public inputs/comments received</t>
  </si>
  <si>
    <t>Meth. Applied</t>
  </si>
  <si>
    <t>Number of comments received from the public during the period of public comment. Each comment submitted by each submitter is counted as one comment.</t>
  </si>
  <si>
    <t>AM(s) applied to the project. In the cases where several AMs are used but the versions of each methodology are the same, the number of versions is listed only once in the column.</t>
  </si>
  <si>
    <t>Approval</t>
  </si>
  <si>
    <t>Technology used and summary of technology used</t>
  </si>
  <si>
    <t>Method used by the JC in deciding to approve a PM, including JC meeting and electronic decision.</t>
  </si>
  <si>
    <t>Determined by the editor referring to the PDD section 'A. Project description'.</t>
  </si>
  <si>
    <t>Coverage: type of technology covered by each methodology</t>
  </si>
  <si>
    <t>Type of activity</t>
  </si>
  <si>
    <t>Determined by the editor referring to the ‘Terms and definitions’ written in each AM.</t>
  </si>
  <si>
    <t>Determined by the author referring to the PDD section 'A. Project description' and 'B. Application of an approved methodology(ies)'. Types of activity include 'new installation' and 'replacement' of equipment or system.</t>
  </si>
  <si>
    <t>Coverage: type of activity covered by each methodology</t>
  </si>
  <si>
    <t>Determined by the author referring to the AM section 'Summary of the methodology' and 'Eligibility criteria'. Types of activity include 'new installation' and 'replacement' of equipment or system.</t>
  </si>
  <si>
    <r>
      <t xml:space="preserve">Support scheme and date of selection
</t>
    </r>
    <r>
      <rPr>
        <sz val="14"/>
        <color theme="1"/>
        <rFont val="Arial"/>
        <family val="2"/>
      </rPr>
      <t>The JCM financial support scheme received by the project and selection date.</t>
    </r>
  </si>
  <si>
    <t>Eligibility criteria (number) set by methodology</t>
  </si>
  <si>
    <t>Starting date of project operation</t>
  </si>
  <si>
    <t>Derived from AM section 'D. Eligibility criteria'. Elibility criteria consist of (a) Requirements for project in order to be registered; and (b) Requirements for project to be able to apply the JCM methodology.</t>
  </si>
  <si>
    <t>Starting date of a JCM project is the date on which the operation of a project begins. The start of operating date of the JCM projects do not predate January 1, 2013.</t>
  </si>
  <si>
    <t>Reference emission determination method(s)</t>
  </si>
  <si>
    <t>Project lifetime (year)</t>
  </si>
  <si>
    <t>Determined by the editor referring to the AM section 'F. Establishment and calculation of reference emissions' and PM Additional Information. In this database, ways to determine the reference emissions are classified into:</t>
  </si>
  <si>
    <t>Project lifetime is the expected operational lifetime of project derived from the PDD section of the 'A. Project description'. Expected operational lifetime may be explained with publicly available statistical data, reference data from similar projects, legal durable years, expert judgment, etc.</t>
  </si>
  <si>
    <r>
      <rPr>
        <sz val="14"/>
        <color theme="1"/>
        <rFont val="Segoe UI"/>
        <family val="2"/>
      </rPr>
      <t>・</t>
    </r>
    <r>
      <rPr>
        <sz val="14"/>
        <color theme="1"/>
        <rFont val="Arial"/>
        <family val="2"/>
      </rPr>
      <t xml:space="preserve"> Benchmarking approach: performance of similar products and technologies which compete with the project technology or best available technology</t>
    </r>
  </si>
  <si>
    <r>
      <t>Environmental Impact Assessment (EIA)</t>
    </r>
    <r>
      <rPr>
        <sz val="14"/>
        <color theme="1"/>
        <rFont val="Arial"/>
        <family val="2"/>
      </rPr>
      <t xml:space="preserve">
Project requirement to conduct an EIA, based on regulation(s) of the host country.</t>
    </r>
  </si>
  <si>
    <r>
      <rPr>
        <sz val="14"/>
        <color theme="1"/>
        <rFont val="Segoe UI"/>
        <family val="2"/>
      </rPr>
      <t>・</t>
    </r>
    <r>
      <rPr>
        <sz val="14"/>
        <color theme="1"/>
        <rFont val="Arial"/>
        <family val="2"/>
      </rPr>
      <t xml:space="preserve"> Legal requirements</t>
    </r>
  </si>
  <si>
    <r>
      <rPr>
        <sz val="14"/>
        <color theme="1"/>
        <rFont val="Segoe UI"/>
        <family val="2"/>
      </rPr>
      <t>・</t>
    </r>
    <r>
      <rPr>
        <sz val="14"/>
        <color theme="1"/>
        <rFont val="Arial"/>
        <family val="2"/>
      </rPr>
      <t xml:space="preserve"> Voluntary or national standards and targets</t>
    </r>
  </si>
  <si>
    <t>Local stakeholders consultation (LSC)</t>
  </si>
  <si>
    <r>
      <rPr>
        <sz val="14"/>
        <color theme="1"/>
        <rFont val="Segoe UI"/>
        <family val="2"/>
      </rPr>
      <t>・</t>
    </r>
    <r>
      <rPr>
        <sz val="14"/>
        <color theme="1"/>
        <rFont val="Arial"/>
        <family val="2"/>
      </rPr>
      <t xml:space="preserve"> Modeling</t>
    </r>
  </si>
  <si>
    <t xml:space="preserve">Each JCM project is required to conduct a local stakeholders consultation. The number of LSC(s) organized and participants are derived from the PDD under section 'E. Local stakeholder consultation'. </t>
  </si>
  <si>
    <t>Sources used for calculating reference emission</t>
  </si>
  <si>
    <t>Determined by the editor referring to the AM section 'F. Establishment and calculation of reference emissions' and PM Additional Information.  In this database, sources are classified into:</t>
  </si>
  <si>
    <t>Public inputs/comments start/end date</t>
  </si>
  <si>
    <r>
      <rPr>
        <sz val="14"/>
        <color theme="1"/>
        <rFont val="Segoe UI"/>
        <family val="2"/>
      </rPr>
      <t>・</t>
    </r>
    <r>
      <rPr>
        <sz val="14"/>
        <color theme="1"/>
        <rFont val="Arial"/>
        <family val="2"/>
      </rPr>
      <t xml:space="preserve"> Country data</t>
    </r>
  </si>
  <si>
    <t>Each project requesting registration are opened for public inputs/comments for 30 calendar days. Dates are expressed in DD/MM/YYYY format.</t>
  </si>
  <si>
    <r>
      <rPr>
        <sz val="14"/>
        <color theme="1"/>
        <rFont val="Segoe UI"/>
        <family val="2"/>
      </rPr>
      <t>・</t>
    </r>
    <r>
      <rPr>
        <sz val="14"/>
        <color theme="1"/>
        <rFont val="Arial"/>
        <family val="2"/>
      </rPr>
      <t xml:space="preserve"> Experimental data</t>
    </r>
  </si>
  <si>
    <r>
      <rPr>
        <sz val="14"/>
        <color theme="1"/>
        <rFont val="Segoe UI"/>
        <family val="2"/>
      </rPr>
      <t>・</t>
    </r>
    <r>
      <rPr>
        <sz val="14"/>
        <color theme="1"/>
        <rFont val="Arial"/>
        <family val="2"/>
      </rPr>
      <t xml:space="preserve"> International standard</t>
    </r>
  </si>
  <si>
    <r>
      <rPr>
        <sz val="14"/>
        <color theme="1"/>
        <rFont val="Segoe UI"/>
        <family val="2"/>
      </rPr>
      <t>・</t>
    </r>
    <r>
      <rPr>
        <sz val="14"/>
        <color theme="1"/>
        <rFont val="Arial"/>
        <family val="2"/>
      </rPr>
      <t xml:space="preserve"> National standard</t>
    </r>
  </si>
  <si>
    <r>
      <rPr>
        <sz val="14"/>
        <color theme="1"/>
        <rFont val="Segoe UI"/>
        <family val="2"/>
      </rPr>
      <t>・</t>
    </r>
    <r>
      <rPr>
        <sz val="14"/>
        <color theme="1"/>
        <rFont val="Arial"/>
        <family val="2"/>
      </rPr>
      <t xml:space="preserve"> Own record</t>
    </r>
  </si>
  <si>
    <r>
      <rPr>
        <sz val="14"/>
        <color theme="1"/>
        <rFont val="Segoe UI"/>
        <family val="2"/>
      </rPr>
      <t>・</t>
    </r>
    <r>
      <rPr>
        <sz val="14"/>
        <color theme="1"/>
        <rFont val="Arial"/>
        <family val="2"/>
      </rPr>
      <t xml:space="preserve"> Survey</t>
    </r>
  </si>
  <si>
    <t>Validation: report date and TPE for validation</t>
  </si>
  <si>
    <t>Ex-ante parameters (number and type)</t>
  </si>
  <si>
    <t>Each project design is required to be validated by a TPE. The list of TPEs eligible to perform validation and/or verification in each JCM partner country is available on the JCM website.</t>
  </si>
  <si>
    <t>Parameters and data to be fixed before project implementation by PPs as described in the AM under section 'I. Data and parameters fixed ex ante' and the AM Spreadsheet: Monitoring Plan Sheet Table 2.</t>
  </si>
  <si>
    <t>Registration</t>
  </si>
  <si>
    <t>Ex-post monitoring parameters (number and type)</t>
  </si>
  <si>
    <t>Date of request for registration and date of registration.</t>
  </si>
  <si>
    <t>Parameters to be monitored by project, derived from AM section 'C. Summary of the methodology' and from AM Spreadsheet: Monitoring Plan Sheet Table 1.</t>
  </si>
  <si>
    <t>Post-registration changes</t>
  </si>
  <si>
    <t>Changes made to projects after their registration, if any.</t>
  </si>
  <si>
    <t>AM Revision</t>
  </si>
  <si>
    <t>JC or the public may propose revision of AM. Types of revision may include editorial revision proposals and/or substantive revision.</t>
  </si>
  <si>
    <t>Emissions reductions in each year ('Est. Aver. Annual ERs') and total (Total est. ERs (tCO2))</t>
  </si>
  <si>
    <t>Average of estimated annual emission reduction and total estimated emission reductions (tCO2e) over the years covered in PDD.</t>
  </si>
  <si>
    <t>Credits issuance</t>
  </si>
  <si>
    <t>Total amount of credits that have been issued to the registry of Japan and each partner country. Credits are issued to Japan and each partner country for the requested period of verified emission reduction based on the allocation requested at each issuance.</t>
  </si>
  <si>
    <t>Citation</t>
    <phoneticPr fontId="8"/>
  </si>
  <si>
    <t>Disclaimer</t>
    <phoneticPr fontId="8"/>
  </si>
  <si>
    <t>Whilst information in this list is believed to be true and accurate at the date of going to press, neither the editor nor publisher can accept any legal responsibility or liability for any errors or omissions that may have been made. For any queries relating to this data, please contact ce-info@iges.or.jp. All copyrights are reserved. The source must be clearly stated when this list is reproduced or transmitted in any form or by any means.</t>
    <phoneticPr fontId="8"/>
  </si>
  <si>
    <t>This database consists of 6 data sheets:</t>
    <phoneticPr fontId="8"/>
  </si>
  <si>
    <r>
      <t xml:space="preserve">1. </t>
    </r>
    <r>
      <rPr>
        <b/>
        <sz val="14"/>
        <color rgb="FF000000"/>
        <rFont val="Arial"/>
        <family val="2"/>
      </rPr>
      <t>Methodologies</t>
    </r>
    <r>
      <rPr>
        <sz val="14"/>
        <color rgb="FF000000"/>
        <rFont val="Arial"/>
        <family val="2"/>
      </rPr>
      <t xml:space="preserve"> sheet provides the information on each JCM methodology approved by the Joint Committee. Information on each methodology is available on https://www.jcm.go.jp/methodologies/all</t>
    </r>
    <phoneticPr fontId="8"/>
  </si>
  <si>
    <r>
      <t xml:space="preserve">2. </t>
    </r>
    <r>
      <rPr>
        <b/>
        <sz val="14"/>
        <color rgb="FF000000"/>
        <rFont val="Arial"/>
        <family val="2"/>
      </rPr>
      <t>Methodologies_summary</t>
    </r>
    <r>
      <rPr>
        <sz val="14"/>
        <color rgb="FF000000"/>
        <rFont val="Arial"/>
        <family val="2"/>
      </rPr>
      <t xml:space="preserve"> sheet shows key statistics for methodologies</t>
    </r>
    <phoneticPr fontId="8"/>
  </si>
  <si>
    <r>
      <t xml:space="preserve">3. </t>
    </r>
    <r>
      <rPr>
        <b/>
        <sz val="14"/>
        <color rgb="FF000000"/>
        <rFont val="Arial"/>
        <family val="2"/>
      </rPr>
      <t>Project Data</t>
    </r>
    <r>
      <rPr>
        <sz val="14"/>
        <color rgb="FF000000"/>
        <rFont val="Arial"/>
        <family val="2"/>
      </rPr>
      <t xml:space="preserve"> sheet provides the information on each JCM registered project and the credits issued from each project. Information on each project is available on: https://www.jcm.go.jp/projects/registers</t>
    </r>
    <phoneticPr fontId="8"/>
  </si>
  <si>
    <r>
      <t xml:space="preserve">4. </t>
    </r>
    <r>
      <rPr>
        <b/>
        <sz val="14"/>
        <color rgb="FF000000"/>
        <rFont val="Arial"/>
        <family val="2"/>
      </rPr>
      <t>Project Data_summary</t>
    </r>
    <r>
      <rPr>
        <sz val="14"/>
        <color rgb="FF000000"/>
        <rFont val="Arial"/>
        <family val="2"/>
      </rPr>
      <t xml:space="preserve"> sheet shows key statistics for registered projects</t>
    </r>
    <phoneticPr fontId="8"/>
  </si>
  <si>
    <r>
      <t xml:space="preserve">5. </t>
    </r>
    <r>
      <rPr>
        <b/>
        <sz val="14"/>
        <color rgb="FF000000"/>
        <rFont val="Arial"/>
        <family val="2"/>
      </rPr>
      <t>Financed Projects</t>
    </r>
    <r>
      <rPr>
        <sz val="14"/>
        <color rgb="FF000000"/>
        <rFont val="Arial"/>
        <family val="2"/>
      </rPr>
      <t xml:space="preserve"> sheet provides the information on each project selected to receive the JCM support</t>
    </r>
    <phoneticPr fontId="8"/>
  </si>
  <si>
    <t>Field description</t>
    <phoneticPr fontId="8"/>
  </si>
  <si>
    <r>
      <rPr>
        <sz val="14"/>
        <color theme="1"/>
        <rFont val="ＭＳ Ｐゴシック"/>
        <family val="3"/>
        <charset val="128"/>
      </rPr>
      <t>・</t>
    </r>
    <r>
      <rPr>
        <sz val="14"/>
        <color theme="1"/>
        <rFont val="Arial"/>
        <family val="2"/>
      </rPr>
      <t xml:space="preserve"> Historical situation or performance: considering the current situation and performance or average historical performance</t>
    </r>
    <phoneticPr fontId="8"/>
  </si>
  <si>
    <t>Akibi Tsukui (Author)</t>
    <phoneticPr fontId="8"/>
  </si>
  <si>
    <t>Kentaro Takahashi (Supervisor)</t>
    <phoneticPr fontId="8"/>
  </si>
  <si>
    <t>IGES JCM Database - Approved Methodologies</t>
  </si>
  <si>
    <t>submission date</t>
    <phoneticPr fontId="8"/>
  </si>
  <si>
    <t>Public inputs/comments</t>
  </si>
  <si>
    <t>Coverage</t>
  </si>
  <si>
    <t>Reference emission</t>
  </si>
  <si>
    <t>Ex-ante parameters</t>
  </si>
  <si>
    <t>Ex-post monitoring parameters</t>
  </si>
  <si>
    <t>Approved Methodology Revision</t>
  </si>
  <si>
    <t>Title</t>
  </si>
  <si>
    <t xml:space="preserve">Host Country </t>
  </si>
  <si>
    <t>Sectoral scope(s)</t>
  </si>
  <si>
    <t>Supplemental Information</t>
  </si>
  <si>
    <t>Meth. proponents</t>
  </si>
  <si>
    <t>Date</t>
  </si>
  <si>
    <t>Start date</t>
  </si>
  <si>
    <t>End date</t>
  </si>
  <si>
    <t>Inputs/
comments received</t>
  </si>
  <si>
    <t>Method</t>
  </si>
  <si>
    <t>From meth. proposed to approved (days)</t>
  </si>
  <si>
    <t>Time from public input/
comments start to meth. approved (days)</t>
  </si>
  <si>
    <t>Time from public input/
comments end to meth.approved (days)</t>
  </si>
  <si>
    <t xml:space="preserve">Approved methodology put on hold date </t>
  </si>
  <si>
    <t>Approved methodology put on hold end date</t>
  </si>
  <si>
    <t>Technology covered</t>
  </si>
  <si>
    <t>Activity covered</t>
  </si>
  <si>
    <t>Eligibility criteria</t>
  </si>
  <si>
    <t xml:space="preserve">GHGs covered </t>
  </si>
  <si>
    <t>Determination method(s)</t>
  </si>
  <si>
    <t>Source(s) used for calculating ref. emission</t>
  </si>
  <si>
    <t>No.</t>
  </si>
  <si>
    <t>Parameters to be fixed ex-ante 
(default value and source, if available)</t>
  </si>
  <si>
    <t>Parameters</t>
  </si>
  <si>
    <t>Projects applying meth.</t>
  </si>
  <si>
    <t xml:space="preserve">Proposed Revised Meth. No. </t>
  </si>
  <si>
    <t>Proposed Revised Meth. title</t>
  </si>
  <si>
    <t>Proposed Revised Meth. proponent(s)</t>
  </si>
  <si>
    <t>Revision request date</t>
  </si>
  <si>
    <t>Type</t>
  </si>
  <si>
    <t>Part Revised</t>
  </si>
  <si>
    <t>Before Revision</t>
  </si>
  <si>
    <t>After Revision</t>
  </si>
  <si>
    <t>Public inputs/
comments date for the revision</t>
  </si>
  <si>
    <t>Public inputs/
comments</t>
  </si>
  <si>
    <t>Approval date</t>
  </si>
  <si>
    <t>BD_AM001</t>
  </si>
  <si>
    <t>Energy Saving by Introduction of High Efficiency Centrifugal Chiller</t>
  </si>
  <si>
    <t>Bangladesh</t>
  </si>
  <si>
    <t>3. Energy demand</t>
  </si>
  <si>
    <t>Energy efficiency</t>
  </si>
  <si>
    <t>Factory</t>
  </si>
  <si>
    <t>BD_PM001</t>
  </si>
  <si>
    <t>Nippon Koei Co., Ltd.</t>
  </si>
  <si>
    <t>JC Meeting</t>
  </si>
  <si>
    <t>-</t>
  </si>
  <si>
    <t>New installation and replacement</t>
  </si>
  <si>
    <r>
      <t>CO</t>
    </r>
    <r>
      <rPr>
        <vertAlign val="subscript"/>
        <sz val="12"/>
        <rFont val="Arial"/>
        <family val="2"/>
      </rPr>
      <t>2</t>
    </r>
  </si>
  <si>
    <t>Benchmarking approach</t>
  </si>
  <si>
    <t>Survey</t>
  </si>
  <si>
    <t>1. CO2 emission factor for electricity consumed by project
The value is selected from the options of default emission factor or calculated based on the determined formula, based on the source of electricity consumed by project (grid electricity or captive electricity )
2. COP of reference chiller in line with the cooling capacity (default value of 5.13, 5.50, or 5.66, according to chiller capacity)
3. COP of project chiller under the project specific conditions (chiller specifications)
4. Output cooling water temperature of project chiller set under the project specific condition (chiller specifications)
5. Output chilled water temperature of project chiller set under the project specific condition (chiller specifications)</t>
  </si>
  <si>
    <t>1. Power consumption of project chiller
2. Amount of fuel input for power generation 
3. Amount of electricity generated</t>
  </si>
  <si>
    <t>BD002</t>
  </si>
  <si>
    <t>Substantive revision proposals</t>
  </si>
  <si>
    <t>PM: I. Data and parameters fixed ex ante
PMS: Project-specific parameters to be fixed ex ante</t>
  </si>
  <si>
    <t>CO2 emission factor for consumed electricity (for captive electricity) uses default value: 0.8 tCO2/MWh (CDM methodology)</t>
  </si>
  <si>
    <t xml:space="preserve">CO2 emission factor for consumed electricity (for captive electricity) uses default value: 0.8 tCO2/MWh for diesel fuel (CDM methodology) or 0.46 tCO2/MWh for natural gas (IPCC) </t>
  </si>
  <si>
    <t>BD_AM002</t>
  </si>
  <si>
    <t>Installation of Solar PV System</t>
  </si>
  <si>
    <t>Ver1.0</t>
    <phoneticPr fontId="8"/>
  </si>
  <si>
    <t>Renewable energy</t>
  </si>
  <si>
    <t>Solar photovoltaic (PV)</t>
  </si>
  <si>
    <t>BD_PM002</t>
  </si>
  <si>
    <t>Institute for Global Environmental Strategies</t>
  </si>
  <si>
    <t>Electronic decision</t>
  </si>
  <si>
    <t>New installation</t>
  </si>
  <si>
    <t>Country data</t>
  </si>
  <si>
    <r>
      <t xml:space="preserve">Reference CO2 emission factor for the project solar PV system. 
The value is selected from the options of default emission factor, based on the connectivity to the national grid, captive diesel power generator, and/or captive gas power generator in the following manner:
- In the case where project solar PV system(s) is only </t>
    </r>
    <r>
      <rPr>
        <i/>
        <sz val="12"/>
        <rFont val="Arial"/>
        <family val="2"/>
      </rPr>
      <t>connected to the national grid</t>
    </r>
    <r>
      <rPr>
        <sz val="12"/>
        <rFont val="Arial"/>
        <family val="2"/>
      </rPr>
      <t>, default value is 0.376 tCO</t>
    </r>
    <r>
      <rPr>
        <vertAlign val="subscript"/>
        <sz val="12"/>
        <rFont val="Arial"/>
        <family val="2"/>
      </rPr>
      <t>2</t>
    </r>
    <r>
      <rPr>
        <sz val="12"/>
        <rFont val="Arial"/>
        <family val="2"/>
      </rPr>
      <t xml:space="preserve">/MWh
'- In the case where project solar PV system(s) is connected to an internal grid which
is connected to </t>
    </r>
    <r>
      <rPr>
        <i/>
        <sz val="12"/>
        <rFont val="Arial"/>
        <family val="2"/>
      </rPr>
      <t xml:space="preserve">both </t>
    </r>
    <r>
      <rPr>
        <sz val="12"/>
        <rFont val="Arial"/>
        <family val="2"/>
      </rPr>
      <t xml:space="preserve">the national grid and a captive power generator, default value is 0.376 tCO2/MWh
- In the case where project solar PV system(s) is connected to a captive power
generator and </t>
    </r>
    <r>
      <rPr>
        <i/>
        <sz val="12"/>
        <rFont val="Arial"/>
        <family val="2"/>
      </rPr>
      <t xml:space="preserve">not </t>
    </r>
    <r>
      <rPr>
        <sz val="12"/>
        <rFont val="Arial"/>
        <family val="2"/>
      </rPr>
      <t xml:space="preserve">connected to the national grid, and the captive power generator uses </t>
    </r>
    <r>
      <rPr>
        <i/>
        <sz val="12"/>
        <rFont val="Arial"/>
        <family val="2"/>
      </rPr>
      <t>not only oil fuel</t>
    </r>
    <r>
      <rPr>
        <sz val="12"/>
        <rFont val="Arial"/>
        <family val="2"/>
      </rPr>
      <t xml:space="preserve">, default value is 0.376 tCO2/MWh 
- In the case where project solar PV system(s) is </t>
    </r>
    <r>
      <rPr>
        <i/>
        <sz val="12"/>
        <rFont val="Arial"/>
        <family val="2"/>
      </rPr>
      <t>not</t>
    </r>
    <r>
      <rPr>
        <sz val="12"/>
        <rFont val="Arial"/>
        <family val="2"/>
      </rPr>
      <t xml:space="preserve"> connected to the national grid, and connected to a captive power generator which </t>
    </r>
    <r>
      <rPr>
        <i/>
        <sz val="12"/>
        <rFont val="Arial"/>
        <family val="2"/>
      </rPr>
      <t>only uses oil fuel,</t>
    </r>
    <r>
      <rPr>
        <sz val="12"/>
        <rFont val="Arial"/>
        <family val="2"/>
      </rPr>
      <t>default value is 0.533 tCO2/MWh</t>
    </r>
  </si>
  <si>
    <t>Quantity of the electricity generated by the project solar PV
system(s).</t>
  </si>
  <si>
    <t>BD_AM003</t>
  </si>
  <si>
    <t>Energy efficiency improvement through the introduction of energy efficient air jet looms in textile industry</t>
  </si>
  <si>
    <t>BD_PM003</t>
  </si>
  <si>
    <t>Toyota Tsusho Corporation,
Mitsubishi UFJ Morgan Stanley Securities Co.,
Ltd.</t>
  </si>
  <si>
    <t>Air let loom</t>
  </si>
  <si>
    <t>1. Energy saving coefficient (default value: 2.93)
2. CO2 emission factor for electricity consumed by project
The value is selected from the options of default emission factor or calculated based on the determined formula, based on the source of electricity consumed by project (grid electricity or captive electricity)</t>
  </si>
  <si>
    <t>1. Amount of electricity consumed by the loom motor(s) of the project air jet loom(s)
2. Amount of electricity consumed by the air compressor(s) of the project air jet loom(s).</t>
  </si>
  <si>
    <t>Chile</t>
  </si>
  <si>
    <t>CH_PM001</t>
  </si>
  <si>
    <t>Solar photovoltaic (PV) system</t>
  </si>
  <si>
    <r>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selected from the list based on the national/regional grid (tCO</t>
    </r>
    <r>
      <rPr>
        <vertAlign val="subscript"/>
        <sz val="12"/>
        <rFont val="Arial"/>
        <family val="2"/>
      </rPr>
      <t>2</t>
    </r>
    <r>
      <rPr>
        <sz val="12"/>
        <rFont val="Arial"/>
        <family val="2"/>
      </rPr>
      <t>/MWh)
- In the case where project solar PV system(s) is connected to an internal grid which
is connected to both the national/regional grid and a captive power generator (PV Case 2), default value is selected from the list based on the national/regional grid (tCO2/MWh)
- In the case where project solar PV system(s) is connected to a captive power
generator and not connected to the national/regional grid, default value is 0.533 tCO2/MWh</t>
    </r>
  </si>
  <si>
    <t>CR_AM001</t>
  </si>
  <si>
    <t>Costa Rica</t>
  </si>
  <si>
    <t>1. Energy industries (renewable-/non-renewable sources)</t>
  </si>
  <si>
    <t>CR_PM001</t>
  </si>
  <si>
    <r>
      <t>Reference CO2 emission factor for the project solar PV system.
The value is selected from the options of default emission factor, based on the connectivity to the national grid and/or captive power generator in the following manner:
- In the case where project solar PV systems is connected to the national grid or connected to both the national grid and captive power generator; default value is 0.255 tCO</t>
    </r>
    <r>
      <rPr>
        <vertAlign val="subscript"/>
        <sz val="12"/>
        <rFont val="Arial"/>
        <family val="2"/>
      </rPr>
      <t>2</t>
    </r>
    <r>
      <rPr>
        <sz val="12"/>
        <rFont val="Arial"/>
        <family val="2"/>
      </rPr>
      <t>/MWh
- In the case where project solar PV systems is not connected to the national grid but connected to a captive power generator, default value is 0.533 tCO2/MWh</t>
    </r>
  </si>
  <si>
    <t>CR_AM002</t>
  </si>
  <si>
    <t>CR_PM002</t>
  </si>
  <si>
    <t>NTT DATA INSTITUTE OF MANAGEMENT CONSULTING, INC.</t>
  </si>
  <si>
    <t>Chiller</t>
  </si>
  <si>
    <t>1. CO2 emission factor for consumed electricity: when project chiller consumes only grid electricity,the most recent value of the Costa Rica official CO2 emission factor is applied.
2. CO2 emission factor for consumed electricity: when project chiller consumes only captive electricity, emission factor is to be calculated (there are two calculation options). If the captive electricity generation system is from non-renewable sources and the capacity is less than or equal to 15 MW, default value is to be applied (0.8 tCO2/GJ for diesel and 0.46 tCO2/GJ with natural gas).
3. CO2 emission factor for consumed electricity: when project chiller may consume both grid and captive electricity, CO2 emission factor for grid and captive electricity are applied proportionately.
4. Integrated Part Load Value (IPLV) of reference chiller: selected from the default value in the methodology.
5. Integrated Part Load Value (IPLV) of project chiller: specifications of chiller, certified in accordance with the AHRI certification program based on AHRI Standard 550/590 (I-P) and AHRI Standard 551/591 (SI).
6. Power generation efficiency (%): from specifications of captive power generator.
7. Net calorific value (NCV) of consumed fuel [GJ/mass or volume]
8. CO2 emission factor for consumed fuel (tCO2/GJ, from default value from supplier, measurement, national default value, or IPCC)
9. Rated capacity of generator (from specifications)</t>
  </si>
  <si>
    <t>1. Power consumption of project chiller
2. Electricity imported from the grid, where applicable
3. Operating time of captive electricity generator, where
applicable
4. The amount of fuel consumed and/or the amount of
electricity generated by captive power, where applicable</t>
  </si>
  <si>
    <t>CR_AM003</t>
  </si>
  <si>
    <t>Installation of Electric Heat Pump Type Water Heater for Hot Water Supply Systems</t>
  </si>
  <si>
    <t>CR_PM003</t>
  </si>
  <si>
    <t>Heat pump</t>
  </si>
  <si>
    <t>- Benchmarking approach
- Voluntary standards and targets</t>
  </si>
  <si>
    <t>1. Efficiency of the reference boiler for heating energy generation (default value, 92%)
2. CO2 emission factor for fuel (tCO2/GJ, from default value from supplier, measurement, national default value, or IPCC)
3. Net calorific value for fuel (GJ/tonne, from default value from supplier, measurement, national default value, or IPCC)
4. CO2 emission factor for consumed electricity: when project chiller consumes only grid electricity,the most recent value of the Costa Rica official CO2 emission factor is applied.
5. CO2 emission factor for consumed electricity: when project chiller consumes only captive electricity, emission factor is to be calculated (there are two calculation options). If the captive electricity generation system is from non-renewable sources and the capacity is less than or equal to 15 MW, default value is to be applied (0.8 tCO2/GJ for diesel and 0.46 tCO2/GJ with natural gas).
6. CO2 emission factor for consumed electricity: when project chiller may consume both grid and captive electricity, CO2 emission factor for grid and captive electricity are applied proportionately.
7. Specific heat capacity of water (4.186MJ/tonne-degree Celcius, in case of standard water temperature of 20 ° C)
8. Density of water (998.22 kg /m3, in case of standard water temperature of 20 ° C)</t>
  </si>
  <si>
    <t>1. Electricity consumed by the project electric heat pump type water heater(s)
2. Electricity consumed by auxiliary electric equipment of the electric heat pump type water heater system (e.g. water pumps)
3. Fuel consumption of project auxiliary boiler, where applicable
4. Average water temperature flowing from tap water and/or well to inlet of supply water heater system
5. Average water temperature flowing from outlet of supply water heater system to utilization side
6. Quantity of water flowing from tap water and/or well to inlet of supply water heater system
7. Electricity imported from the grid, where applicable 
8. Operating time of captive electricity generator, where applicable
9. The amount of fuel consumed and/or the amount of electricity generated by captive power, where applicable.</t>
  </si>
  <si>
    <t xml:space="preserve">ET_AM001 </t>
  </si>
  <si>
    <t>Electrification of communities using Micro hydropower generation</t>
  </si>
  <si>
    <t>Ethiopia</t>
  </si>
  <si>
    <t>Hydro power</t>
  </si>
  <si>
    <t>ET_PM001</t>
  </si>
  <si>
    <t>NTT Data Institute of Management Consulting, Inc.</t>
  </si>
  <si>
    <t xml:space="preserve">Hydropower plant, Hydro generation unit </t>
  </si>
  <si>
    <t>Historical situation or performance</t>
  </si>
  <si>
    <t>International standard (CDM)</t>
  </si>
  <si>
    <r>
      <t>1.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for projects in grid-inaccessible areas where electricity consumption of individual consumer is not monitored
2. CO</t>
    </r>
    <r>
      <rPr>
        <vertAlign val="subscript"/>
        <sz val="12"/>
        <rFont val="Arial"/>
        <family val="2"/>
      </rPr>
      <t>2</t>
    </r>
    <r>
      <rPr>
        <sz val="12"/>
        <rFont val="Arial"/>
        <family val="2"/>
      </rPr>
      <t xml:space="preserve"> emission factor of the lighting from kerosene lamps (6.8 tCO</t>
    </r>
    <r>
      <rPr>
        <vertAlign val="subscript"/>
        <sz val="12"/>
        <rFont val="Arial"/>
        <family val="2"/>
      </rPr>
      <t>2</t>
    </r>
    <r>
      <rPr>
        <sz val="12"/>
        <rFont val="Arial"/>
        <family val="2"/>
      </rPr>
      <t>/MWh), for projects in grid-inaccessible areas where electricity consumption of individual consumer is monitored
3.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projects in grid-inaccessible areas where electricity consumption of individual consumer is monitored.</t>
    </r>
  </si>
  <si>
    <t>Quantity of total electricity consumption by the consumers as a whole and/or each consumer</t>
  </si>
  <si>
    <t>ET_AM002</t>
  </si>
  <si>
    <t>Electrification by photovoltaic power generation in Ethiopia</t>
  </si>
  <si>
    <t>ET_PM002</t>
  </si>
  <si>
    <t>NTT DATA INSTITUTE OF MANAGEMENT
CONSULTING, Inc.</t>
  </si>
  <si>
    <t>1. CO2 emission factor of the diesel generation unit (0.8 or 1 tCO2/MWh according to generation capacity, CDM methodology), and/or
2. CO2 emission factor of the lighting by kerosene lamps (6.8 tCO2/MWh, CDM methodology)
3. The minimum electricity consumption for lighting per recipient per year (0.055 MWh, CDM methodology)</t>
  </si>
  <si>
    <t>Actual amount of electricity consumed; by all the
recipients (Calculation method 1) or by each recipient
(Calculation method 2).</t>
  </si>
  <si>
    <t>ET_AM003</t>
  </si>
  <si>
    <t>Introduction of Biomass Combined Heat and Power Plant</t>
  </si>
  <si>
    <t>Waste management &amp; biomass utilisation</t>
  </si>
  <si>
    <t>Others (residue of biomass processing activities)</t>
  </si>
  <si>
    <t>ET_PM003</t>
  </si>
  <si>
    <t>Pacific Consultants Co., Ltd.</t>
  </si>
  <si>
    <t>Biomass power plant, Biomass boiler</t>
  </si>
  <si>
    <r>
      <t>1. Reference boiler efficiency (93%, own survey)
2. Reference CO</t>
    </r>
    <r>
      <rPr>
        <vertAlign val="subscript"/>
        <sz val="12"/>
        <rFont val="Arial"/>
        <family val="2"/>
      </rPr>
      <t>2</t>
    </r>
    <r>
      <rPr>
        <sz val="12"/>
        <rFont val="Arial"/>
        <family val="2"/>
      </rPr>
      <t xml:space="preserve"> emission factor of the reference fuel (74.1 tCO</t>
    </r>
    <r>
      <rPr>
        <vertAlign val="subscript"/>
        <sz val="12"/>
        <rFont val="Arial"/>
        <family val="2"/>
      </rPr>
      <t>2</t>
    </r>
    <r>
      <rPr>
        <sz val="12"/>
        <rFont val="Arial"/>
        <family val="2"/>
      </rPr>
      <t>/TJ for diesel, IPCC)
3. Reference percentage of grid power interruption time (2%, external survey)
4. Reference CO</t>
    </r>
    <r>
      <rPr>
        <vertAlign val="subscript"/>
        <sz val="12"/>
        <rFont val="Arial"/>
        <family val="2"/>
      </rPr>
      <t>2</t>
    </r>
    <r>
      <rPr>
        <sz val="12"/>
        <rFont val="Arial"/>
        <family val="2"/>
      </rPr>
      <t xml:space="preserve"> emission factor of captive gensets (0.533 tCO</t>
    </r>
    <r>
      <rPr>
        <vertAlign val="subscript"/>
        <sz val="12"/>
        <rFont val="Arial"/>
        <family val="2"/>
      </rPr>
      <t>2</t>
    </r>
    <r>
      <rPr>
        <sz val="12"/>
        <rFont val="Arial"/>
        <family val="2"/>
      </rPr>
      <t>/MWh, based on the diesel generator efficiency of 49%)</t>
    </r>
  </si>
  <si>
    <t>Quantity of net heat provided to the heat loads and
electricity generated by the biomass CHP plant.</t>
  </si>
  <si>
    <t>ID_AM001</t>
  </si>
  <si>
    <t>Power Generation by Waste Heat Recovery in Cement Industry</t>
  </si>
  <si>
    <t>Indonesia</t>
  </si>
  <si>
    <t>1. Energy industries (renewable-/non-renewable sources)</t>
    <phoneticPr fontId="8"/>
  </si>
  <si>
    <t>ID_PM001</t>
  </si>
  <si>
    <t>JFE Engineering Corporation</t>
  </si>
  <si>
    <t>Power generation by waste heat recovery</t>
  </si>
  <si>
    <r>
      <t>1. CO</t>
    </r>
    <r>
      <rPr>
        <vertAlign val="subscript"/>
        <sz val="12"/>
        <rFont val="Arial"/>
        <family val="2"/>
      </rPr>
      <t>2</t>
    </r>
    <r>
      <rPr>
        <sz val="12"/>
        <rFont val="Arial"/>
        <family val="2"/>
      </rPr>
      <t xml:space="preserve"> emission factor for consumed electricity from grid generation (national Grid Emission Factor of Indonesia)
2. Total maximum rated capacity of equipments of the WHR system which consumes electricity except for the capacity of equipments which use the electricity generated by itself directly (MW, equipment specification)</t>
    </r>
  </si>
  <si>
    <t>1. Quantity of the electricity supplied from the WHR system to the cement production facility
2. Number of operating days during the period</t>
  </si>
  <si>
    <t>ID013</t>
  </si>
  <si>
    <t>ID_AM002</t>
  </si>
  <si>
    <t>Ver2.0</t>
    <phoneticPr fontId="8"/>
  </si>
  <si>
    <t>ID_PM002</t>
  </si>
  <si>
    <t>1. CO2 emission factor for electricity consumed by project
The value is selected from the options of default emission factor, based on the source of electricity consumed by project (for grid electricity, use national values, for captive electricity, use 0.8 tCO2/MWh from CDM default value)
2. Output cooling water temperature of project chiller set under the project specific condition (Celsius, chiller specification)
3. Output chilled water temperature of project chiller set under the project specific condition (Celsius, chiller specification)
4. COP of reference chiller under the standardizing temperature conditions (default values of 4.92, 5.33, 5.59, 5.85, or 5.94, according to chiller capacity)
5. COP of project chiller under the project specific conditions (chiller specification)
6. COP of project chiller calculated under the standardizing temperature conditions (formula)
7. Rated capacity of captive power generator (kW, specification)</t>
  </si>
  <si>
    <t>1. Power consumption of project chiller
2. Electricity imported from the grid to the project site, where applicable
3. Operating time of captive electricity generator, where applicable</t>
  </si>
  <si>
    <t>ID001, ID004, ID005, ID009</t>
  </si>
  <si>
    <t>ID_PM011</t>
  </si>
  <si>
    <t>Energy Saving by Introduction of High Efficiency Centrifugal Chiller, Version 2.0</t>
  </si>
  <si>
    <t>Nippon Koei, Ltd.</t>
  </si>
  <si>
    <t xml:space="preserve"> 7/10/2015</t>
  </si>
  <si>
    <t>Monitoring Plan Sheet (Input sheet),
(h) Measurement methods and procedures</t>
  </si>
  <si>
    <t>Calibration: Every year after the installation by a qualified agency.</t>
  </si>
  <si>
    <r>
      <t xml:space="preserve">Calibration: In case a calibration certificate issued by an entity accredited under national/international standards is not provided, such measuring equipment </t>
    </r>
    <r>
      <rPr>
        <sz val="12"/>
        <color rgb="FFFF0000"/>
        <rFont val="Arial"/>
        <family val="2"/>
      </rPr>
      <t xml:space="preserve">is required </t>
    </r>
    <r>
      <rPr>
        <sz val="12"/>
        <color theme="1"/>
        <rFont val="Arial"/>
        <family val="2"/>
      </rPr>
      <t>to be calibrated.</t>
    </r>
  </si>
  <si>
    <t>09/10/2015 - 23/10/2015</t>
  </si>
  <si>
    <t>ID_AM003</t>
  </si>
  <si>
    <t>Installation of Energy-efficient Refrigerators Using Natural Refrigerant at Food Industry Cold Storage and Frozen Food Processing Plant</t>
  </si>
  <si>
    <t>ID_PM003</t>
  </si>
  <si>
    <t>EX Research Institute Limited</t>
  </si>
  <si>
    <t>Regrigerator</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</si>
  <si>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2. COP of the project refrigerator (chiller specification)
3. COP of reference refrigerator (default value of 1.32 or 1.71 according to chiller capacity)
4. Rated capacity of captive power generator (kW, specification)</t>
  </si>
  <si>
    <t xml:space="preserve">1. Amount of electricity consumed by project refrigerator
2. Electricity imported from the grid, where applicable
3. Operating time of captive electricity generator, where applicable </t>
  </si>
  <si>
    <t>ID002, ID003</t>
  </si>
  <si>
    <t>ID_PM012</t>
  </si>
  <si>
    <t>Installation of Energy-efficient Refrigerators Using Natural Refrigerant at Food Industry Cold Storage and Frozen Food Processing Plant, Version 2.0</t>
  </si>
  <si>
    <t>1. PM: I. Data and parameters fixed ex ante
2. PMS: 
Measurement methods and procedures</t>
  </si>
  <si>
    <r>
      <t>1. - EFelec sources defined by calculation parameters. 
- COP</t>
    </r>
    <r>
      <rPr>
        <vertAlign val="subscript"/>
        <sz val="12"/>
        <color theme="1"/>
        <rFont val="Arial"/>
        <family val="2"/>
      </rPr>
      <t>RE,i</t>
    </r>
    <r>
      <rPr>
        <sz val="12"/>
        <color theme="1"/>
        <rFont val="Arial"/>
        <family val="2"/>
      </rPr>
      <t xml:space="preserve"> source exception refers to the range specified by Criterion </t>
    </r>
    <r>
      <rPr>
        <sz val="12"/>
        <color rgb="FFFF0000"/>
        <rFont val="Arial"/>
        <family val="2"/>
      </rPr>
      <t>2</t>
    </r>
    <r>
      <rPr>
        <sz val="12"/>
        <color theme="1"/>
        <rFont val="Arial"/>
        <family val="2"/>
      </rPr>
      <t>.
2. Calibration is conducted every year after the installation by a qualified entity.
"EFelec" source: CDM approved small scale methodology: AMS-I.A
"COP</t>
    </r>
    <r>
      <rPr>
        <vertAlign val="subscript"/>
        <sz val="12"/>
        <color theme="1"/>
        <rFont val="Arial"/>
        <family val="2"/>
      </rPr>
      <t>RE,i</t>
    </r>
    <r>
      <rPr>
        <sz val="12"/>
        <color theme="1"/>
        <rFont val="Arial"/>
        <family val="2"/>
      </rPr>
      <t>" source: Specifications of project refrigerator i prepared for the quotation or factory acceptance test data by manufacturer</t>
    </r>
  </si>
  <si>
    <r>
      <t>1. - COP</t>
    </r>
    <r>
      <rPr>
        <vertAlign val="subscript"/>
        <sz val="12"/>
        <color theme="1"/>
        <rFont val="Arial"/>
        <family val="2"/>
      </rPr>
      <t>RE,i</t>
    </r>
    <r>
      <rPr>
        <sz val="12"/>
        <color theme="1"/>
        <rFont val="Arial"/>
        <family val="2"/>
      </rPr>
      <t xml:space="preserve"> source: reference to Criterion </t>
    </r>
    <r>
      <rPr>
        <sz val="12"/>
        <color rgb="FFFF0000"/>
        <rFont val="Arial"/>
        <family val="2"/>
      </rPr>
      <t>3</t>
    </r>
    <r>
      <rPr>
        <sz val="12"/>
        <color theme="1"/>
        <rFont val="Arial"/>
        <family val="2"/>
      </rPr>
      <t xml:space="preserve">.
- EFelec definition: defined by </t>
    </r>
    <r>
      <rPr>
        <sz val="12"/>
        <color rgb="FFFF0000"/>
        <rFont val="Arial"/>
        <family val="2"/>
      </rPr>
      <t>multiplication</t>
    </r>
    <r>
      <rPr>
        <sz val="12"/>
        <color theme="1"/>
        <rFont val="Arial"/>
        <family val="2"/>
      </rPr>
      <t xml:space="preserve"> of calculation parameters. 
- New abbreviation: "EFelec,grid" for grid electricity CO</t>
    </r>
    <r>
      <rPr>
        <vertAlign val="subscript"/>
        <sz val="12"/>
        <color theme="1"/>
        <rFont val="Arial"/>
        <family val="2"/>
      </rPr>
      <t>2</t>
    </r>
    <r>
      <rPr>
        <sz val="12"/>
        <color theme="1"/>
        <rFont val="Arial"/>
        <family val="2"/>
      </rPr>
      <t xml:space="preserve"> emission factor and "EFelec,cap" for captive electricity CO</t>
    </r>
    <r>
      <rPr>
        <vertAlign val="subscript"/>
        <sz val="12"/>
        <color theme="1"/>
        <rFont val="Arial"/>
        <family val="2"/>
      </rPr>
      <t>2</t>
    </r>
    <r>
      <rPr>
        <sz val="12"/>
        <color theme="1"/>
        <rFont val="Arial"/>
        <family val="2"/>
      </rPr>
      <t xml:space="preserve"> emission factor 
2. Calibration: In case a calibration certificate issued by an entity accredited under national/international standards is not provided, such measuring equipment </t>
    </r>
    <r>
      <rPr>
        <sz val="12"/>
        <color rgb="FFFF0000"/>
        <rFont val="Arial"/>
        <family val="2"/>
      </rPr>
      <t xml:space="preserve">is required to be calibrated.
</t>
    </r>
    <r>
      <rPr>
        <sz val="12"/>
        <rFont val="Arial"/>
        <family val="2"/>
      </rPr>
      <t xml:space="preserve">"EFelec, </t>
    </r>
    <r>
      <rPr>
        <sz val="12"/>
        <color rgb="FFFF0000"/>
        <rFont val="Arial"/>
        <family val="2"/>
      </rPr>
      <t>cap</t>
    </r>
    <r>
      <rPr>
        <sz val="12"/>
        <rFont val="Arial"/>
        <family val="2"/>
      </rPr>
      <t xml:space="preserve">" source: </t>
    </r>
    <r>
      <rPr>
        <sz val="12"/>
        <color rgb="FFFF0000"/>
        <rFont val="Arial"/>
        <family val="2"/>
      </rPr>
      <t xml:space="preserve">Default value </t>
    </r>
    <r>
      <rPr>
        <sz val="12"/>
        <rFont val="Arial"/>
        <family val="2"/>
      </rPr>
      <t>set in the CDM approved small scale methodology: AMS-I.A</t>
    </r>
    <r>
      <rPr>
        <sz val="12"/>
        <color rgb="FFFF0000"/>
        <rFont val="Arial"/>
        <family val="2"/>
      </rPr>
      <t xml:space="preserve">
</t>
    </r>
    <r>
      <rPr>
        <sz val="12"/>
        <rFont val="Arial"/>
        <family val="2"/>
      </rPr>
      <t>"COP</t>
    </r>
    <r>
      <rPr>
        <vertAlign val="subscript"/>
        <sz val="12"/>
        <rFont val="Arial"/>
        <family val="2"/>
      </rPr>
      <t>RE,i</t>
    </r>
    <r>
      <rPr>
        <sz val="12"/>
        <rFont val="Arial"/>
        <family val="2"/>
      </rPr>
      <t>" source:</t>
    </r>
    <r>
      <rPr>
        <sz val="12"/>
        <color rgb="FFFF0000"/>
        <rFont val="Arial"/>
        <family val="2"/>
      </rPr>
      <t xml:space="preserve"> Default value set in the latest version of JCM Approved Methodology ID_AM003.</t>
    </r>
  </si>
  <si>
    <t>ID_AM004</t>
  </si>
  <si>
    <t>Installation of Inverter-Type Air Conditioning System for Cooling for Grocery Store</t>
  </si>
  <si>
    <t>Commercial &amp; household</t>
  </si>
  <si>
    <t>ID_PM005</t>
  </si>
  <si>
    <t>myclimate Japan Co., Ltd.</t>
  </si>
  <si>
    <t>Air conditioning systems</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</si>
  <si>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2. COP of the project air conditioning (air conditioning system specification)
3. COP of reference air conditioning (air conditioning system specification)</t>
  </si>
  <si>
    <t>Power consumption of each project air conditioning system</t>
  </si>
  <si>
    <t>ID006</t>
  </si>
  <si>
    <t>ID_PM013</t>
  </si>
  <si>
    <t>Installation of Inverter-Type Air Conditioning System for Cooling for Grocery Store Version 2.0</t>
  </si>
  <si>
    <t>1. PM: D. Eligibility criteria
2. PMS: 
Measurement methods and procedures</t>
  </si>
  <si>
    <t>1. Criterion 4: in the case of replacement of system, plan for not releasing refrigerant used for the existing system is not released to the air is required.
2. Methodology only allows manual monitoring system. Measuring equipment is installed in each air conditioning system.</t>
  </si>
  <si>
    <r>
      <rPr>
        <sz val="12"/>
        <rFont val="Arial"/>
        <family val="2"/>
      </rPr>
      <t xml:space="preserve">1. Criterion 4:  in the case of replacement of system, plan for not releasing refrigerant used for the existing system is not released to the air is required, </t>
    </r>
    <r>
      <rPr>
        <sz val="12"/>
        <color rgb="FFFF0000"/>
        <rFont val="Arial"/>
        <family val="2"/>
      </rPr>
      <t xml:space="preserve">e.g. re-use of the refrigerant. Execution of the prevention plan is confirmed at the time of verification.
</t>
    </r>
    <r>
      <rPr>
        <sz val="12"/>
        <rFont val="Arial"/>
        <family val="2"/>
      </rPr>
      <t xml:space="preserve">2. Added new option of </t>
    </r>
    <r>
      <rPr>
        <sz val="12"/>
        <color rgb="FFFF0000"/>
        <rFont val="Arial"/>
        <family val="2"/>
      </rPr>
      <t xml:space="preserve">automated monitoring system. </t>
    </r>
    <r>
      <rPr>
        <sz val="12"/>
        <rFont val="Arial"/>
        <family val="2"/>
      </rPr>
      <t xml:space="preserve">Measured data is automatically </t>
    </r>
    <r>
      <rPr>
        <sz val="12"/>
        <color rgb="FFFF0000"/>
        <rFont val="Arial"/>
        <family val="2"/>
      </rPr>
      <t>transmitted through internet to the remote server</t>
    </r>
    <r>
      <rPr>
        <sz val="12"/>
        <rFont val="Arial"/>
        <family val="2"/>
      </rPr>
      <t xml:space="preserve"> for recording.</t>
    </r>
  </si>
  <si>
    <t>ID_AM005</t>
  </si>
  <si>
    <t>Installation of LED Lighting for Grocery Store</t>
  </si>
  <si>
    <t>ID_PM004</t>
  </si>
  <si>
    <t>LED lighting</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</si>
  <si>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3. Luminous efficiency of project lighting (specification)
4. Luminous efficiency of reference lighting (specification)</t>
  </si>
  <si>
    <t>Total power consumption of project lighting</t>
  </si>
  <si>
    <t>ID_PM014</t>
  </si>
  <si>
    <t>Installation of LED Lighting for Grocery Store Version 2.0</t>
  </si>
  <si>
    <t>PMS: 
Measurement methods and procedures</t>
  </si>
  <si>
    <t xml:space="preserve">Methodology only allows manual monitoring system. Measuring equipment is installed in distributing system connecting to LED lighting. </t>
  </si>
  <si>
    <r>
      <t xml:space="preserve">Added new option of </t>
    </r>
    <r>
      <rPr>
        <sz val="12"/>
        <color rgb="FFFF0000"/>
        <rFont val="Arial"/>
        <family val="2"/>
      </rPr>
      <t xml:space="preserve">automated monitoring system. </t>
    </r>
    <r>
      <rPr>
        <sz val="12"/>
        <color theme="1"/>
        <rFont val="Arial"/>
        <family val="2"/>
      </rPr>
      <t>Measured data is automatically</t>
    </r>
    <r>
      <rPr>
        <sz val="12"/>
        <color rgb="FFFF0000"/>
        <rFont val="Arial"/>
        <family val="2"/>
      </rPr>
      <t xml:space="preserve"> transmitted through internet to the remote server</t>
    </r>
    <r>
      <rPr>
        <sz val="12"/>
        <color theme="1"/>
        <rFont val="Arial"/>
        <family val="2"/>
      </rPr>
      <t xml:space="preserve"> for recording.</t>
    </r>
  </si>
  <si>
    <t>ID_AM006</t>
  </si>
  <si>
    <t>GHG emission reductions through optimization of refinery plant operation in Indonesia</t>
  </si>
  <si>
    <t>Ver2.1</t>
    <phoneticPr fontId="8"/>
  </si>
  <si>
    <t>ID_PM006</t>
  </si>
  <si>
    <t>Yokogawa Electric Corporation</t>
  </si>
  <si>
    <t>Distributed Control System (DCS)</t>
  </si>
  <si>
    <t>Own record</t>
  </si>
  <si>
    <r>
      <t xml:space="preserve">1. Specific emission factor </t>
    </r>
    <r>
      <rPr>
        <i/>
        <sz val="12"/>
        <rFont val="Arial"/>
        <family val="2"/>
      </rPr>
      <t>a</t>
    </r>
    <r>
      <rPr>
        <sz val="12"/>
        <rFont val="Arial"/>
        <family val="2"/>
      </rPr>
      <t xml:space="preserve"> (GJ/mass or volume unit, obtained by regression analysis)
2. y-intercept </t>
    </r>
    <r>
      <rPr>
        <i/>
        <sz val="12"/>
        <rFont val="Arial"/>
        <family val="2"/>
      </rPr>
      <t xml:space="preserve">b </t>
    </r>
    <r>
      <rPr>
        <sz val="12"/>
        <rFont val="Arial"/>
        <family val="2"/>
      </rPr>
      <t xml:space="preserve">for calculation(constant, obtained by regression analysis)
3. Specific emission factor </t>
    </r>
    <r>
      <rPr>
        <i/>
        <sz val="12"/>
        <rFont val="Arial"/>
        <family val="2"/>
      </rPr>
      <t>c</t>
    </r>
    <r>
      <rPr>
        <sz val="12"/>
        <rFont val="Arial"/>
        <family val="2"/>
      </rPr>
      <t xml:space="preserve"> (GJ/mass or volume unit, obtained by regression analysis)
4. y-intercept </t>
    </r>
    <r>
      <rPr>
        <i/>
        <sz val="12"/>
        <rFont val="Arial"/>
        <family val="2"/>
      </rPr>
      <t>d</t>
    </r>
    <r>
      <rPr>
        <sz val="12"/>
        <rFont val="Arial"/>
        <family val="2"/>
      </rPr>
      <t xml:space="preserve"> for calculation(constant, obtained by regression analysis)
5. Specific energy consumption per hydrogen production (GJ/Nm3, obtained by regression analysis)
6. y-intercept </t>
    </r>
    <r>
      <rPr>
        <i/>
        <sz val="12"/>
        <rFont val="Arial"/>
        <family val="2"/>
      </rPr>
      <t>f</t>
    </r>
    <r>
      <rPr>
        <sz val="12"/>
        <rFont val="Arial"/>
        <family val="2"/>
      </rPr>
      <t xml:space="preserve"> for calculation (constant, obtained by regression analysis)
7. Specific hydrogen consumption per fresh feed input (Nm3/mass or volume unit, obtained by regression analysis)
8. y-intercept </t>
    </r>
    <r>
      <rPr>
        <i/>
        <sz val="12"/>
        <rFont val="Arial"/>
        <family val="2"/>
      </rPr>
      <t xml:space="preserve">h </t>
    </r>
    <r>
      <rPr>
        <sz val="12"/>
        <rFont val="Arial"/>
        <family val="2"/>
      </rPr>
      <t>for calculation (constant, obtained by regression analysis)
9. Net calorific value of natural gas (GJ/mass or volume unit, default value from supplier, measurement, national default value, or IPCC)
10. Net calorific value of diesel (GJ/mass or volume unit, default value from supplier, measurement, national default value, or IPCC)
11. Net calorific value of residual oil (GJ/mass or volume unit, default value from supplier, measurement, national default value, or IPCC)
12. Net calorific value of any other fuel used (GJ/mass or volume unit, default value from supplier, measurement, national default value, or IPCC)
13. Emission factor of natural gas (tCO</t>
    </r>
    <r>
      <rPr>
        <vertAlign val="subscript"/>
        <sz val="12"/>
        <rFont val="Arial"/>
        <family val="2"/>
      </rPr>
      <t>2</t>
    </r>
    <r>
      <rPr>
        <sz val="12"/>
        <rFont val="Arial"/>
        <family val="2"/>
      </rPr>
      <t>/GJ, default value from supplier, measurement, national default value, or IPCC)
14. Emission factor of diesel (tCO</t>
    </r>
    <r>
      <rPr>
        <vertAlign val="subscript"/>
        <sz val="12"/>
        <rFont val="Arial"/>
        <family val="2"/>
      </rPr>
      <t>2</t>
    </r>
    <r>
      <rPr>
        <sz val="12"/>
        <rFont val="Arial"/>
        <family val="2"/>
      </rPr>
      <t>/GJ, default value from supplier, measurement, national default value, or IPCC)
15. Emission factor of residual oil (tCO</t>
    </r>
    <r>
      <rPr>
        <vertAlign val="subscript"/>
        <sz val="12"/>
        <rFont val="Arial"/>
        <family val="2"/>
      </rPr>
      <t>2</t>
    </r>
    <r>
      <rPr>
        <sz val="12"/>
        <rFont val="Arial"/>
        <family val="2"/>
      </rPr>
      <t>/GJ, default value from supplier, measurement, national default value, or IPCC)
16. Emission factor of any other fuel used (tCO</t>
    </r>
    <r>
      <rPr>
        <vertAlign val="subscript"/>
        <sz val="12"/>
        <rFont val="Arial"/>
        <family val="2"/>
      </rPr>
      <t>2</t>
    </r>
    <r>
      <rPr>
        <sz val="12"/>
        <rFont val="Arial"/>
        <family val="2"/>
      </rPr>
      <t>/GJ, default value from supplier, measurement, national default value, or IPCC)</t>
    </r>
  </si>
  <si>
    <t>1. Feed input to HCU (hydro cracking unit) reactor 
2. Consumption of natural gas in HCU reactor heater
3. Consumption of diesel oil in HCU reactor heater
4. Consumption of HFO (heavy fuel oil) in HCU reactor heater
5. Consumption of other fuel i in HCU reactor heater
6. Feed input to HCU debutanizer
7. Consumption of natural gas in HCU debutanizer reboiler
8. Consumption of diesel oil in HCU debutanizer reboiler
9. Consumption of HFO in HCU debutanizer reboiler
10. Consumption of other fuel in HCU debutanizer reboiler
11. Consumption of natural gas in HPU (hydrogen production unit)
12. Consumption of diesel oil in HPU
13. Consumption of HFO in HPU
14. Consumption of other fuel in HPU
15. Hydrogen production in HPU
16. Hydrogen consumption in HCU</t>
  </si>
  <si>
    <t>ID014</t>
  </si>
  <si>
    <t>GHG emission reductions through optimization of refinery plant operation in Indonesia, version 2.0</t>
  </si>
  <si>
    <t>Substantive revision proposals</t>
    <phoneticPr fontId="8"/>
  </si>
  <si>
    <t>F.2. Calculation of reference emissions</t>
  </si>
  <si>
    <r>
      <t>C. Project emissions to calculate emission reduction in HPU as a result of reduction in
hydrogen demand in HCU (PE</t>
    </r>
    <r>
      <rPr>
        <vertAlign val="subscript"/>
        <sz val="12"/>
        <color theme="1"/>
        <rFont val="Arial"/>
        <family val="2"/>
      </rPr>
      <t>HPU1,p</t>
    </r>
    <r>
      <rPr>
        <sz val="12"/>
        <color theme="1"/>
        <rFont val="Arial"/>
        <family val="2"/>
      </rPr>
      <t>)
Parameter EF</t>
    </r>
    <r>
      <rPr>
        <vertAlign val="subscript"/>
        <sz val="12"/>
        <color theme="1"/>
        <rFont val="Arial"/>
        <family val="2"/>
      </rPr>
      <t>HPU,p</t>
    </r>
    <r>
      <rPr>
        <sz val="12"/>
        <color theme="1"/>
        <rFont val="Arial"/>
        <family val="2"/>
      </rPr>
      <t xml:space="preserve"> = Weighted average CO2 emission factor of fossil fuel consumed in HPU during the historical three-year period, obtained by the equation in step C1-2. [tCO2/GJ]</t>
    </r>
  </si>
  <si>
    <r>
      <t>C. Project emissions to calculate emission reduction in HPU as a result of reduction in
hydrogen demand in HCU (PE</t>
    </r>
    <r>
      <rPr>
        <vertAlign val="subscript"/>
        <sz val="12"/>
        <color theme="1"/>
        <rFont val="Arial"/>
        <family val="2"/>
      </rPr>
      <t>HPU1,p</t>
    </r>
    <r>
      <rPr>
        <sz val="12"/>
        <color theme="1"/>
        <rFont val="Arial"/>
        <family val="2"/>
      </rPr>
      <t>)
Parameter EF</t>
    </r>
    <r>
      <rPr>
        <vertAlign val="subscript"/>
        <sz val="12"/>
        <color theme="1"/>
        <rFont val="Arial"/>
        <family val="2"/>
      </rPr>
      <t>HPU,p</t>
    </r>
    <r>
      <rPr>
        <sz val="12"/>
        <color theme="1"/>
        <rFont val="Arial"/>
        <family val="2"/>
      </rPr>
      <t xml:space="preserve"> = Weighted average CO2 emission factor of fossil fuel consumed in HPU during the period </t>
    </r>
    <r>
      <rPr>
        <i/>
        <sz val="12"/>
        <color theme="1"/>
        <rFont val="Arial"/>
        <family val="2"/>
      </rPr>
      <t>p</t>
    </r>
    <r>
      <rPr>
        <sz val="12"/>
        <color theme="1"/>
        <rFont val="Arial"/>
        <family val="2"/>
      </rPr>
      <t>. [tCO2/GJ]</t>
    </r>
  </si>
  <si>
    <t>13/05/2017 - 27/05/2017</t>
  </si>
  <si>
    <t>1. Monitoring parameters
2. Correct equations</t>
    <phoneticPr fontId="8"/>
  </si>
  <si>
    <t>1. Quantity of feed input (or production volume) to the process unit, fuel consumption, and hydrogen production at HPU, hydrogen consumption at HCU
2. See the revised document on the website as equations have been changed a lot</t>
    <phoneticPr fontId="8"/>
  </si>
  <si>
    <r>
      <rPr>
        <sz val="12"/>
        <rFont val="Arial"/>
        <family val="2"/>
      </rPr>
      <t>1. Quantity of feed input (or production volume) to the process unit, fuel consumption, hydrogen production at HPU, hydrogen consumption at HCU,</t>
    </r>
    <r>
      <rPr>
        <sz val="12"/>
        <color theme="1"/>
        <rFont val="Arial"/>
        <family val="2"/>
      </rPr>
      <t xml:space="preserve"> </t>
    </r>
    <r>
      <rPr>
        <sz val="12"/>
        <color rgb="FFFF0000"/>
        <rFont val="Arial"/>
        <family val="2"/>
      </rPr>
      <t>and number of day(s) recorded for feed input, hydrogen production and hydrogen consumption.
2. See the revised document on the website as equations have been changed a lot</t>
    </r>
    <phoneticPr fontId="8"/>
  </si>
  <si>
    <t>-</t>
    <phoneticPr fontId="8"/>
  </si>
  <si>
    <t>ID_AM007</t>
  </si>
  <si>
    <t>GHG emission reductions through optimization of boiler operation in Indonesia</t>
  </si>
  <si>
    <t>Ver1.1</t>
    <phoneticPr fontId="8"/>
  </si>
  <si>
    <t>ID_PM007</t>
  </si>
  <si>
    <t>Azbil Corporation</t>
  </si>
  <si>
    <r>
      <t xml:space="preserve">1. Specific emission factor (tCO2/tonnes steam, obtained by regression analysis)
2.  y-intercept </t>
    </r>
    <r>
      <rPr>
        <i/>
        <sz val="12"/>
        <rFont val="Arial"/>
        <family val="2"/>
      </rPr>
      <t>b</t>
    </r>
    <r>
      <rPr>
        <sz val="12"/>
        <rFont val="Arial"/>
        <family val="2"/>
      </rPr>
      <t xml:space="preserve"> for calculation (constant, obtained by regression analysis)
3. Net calorific value of coal (GJ/mass or volume unit, default value from supplier, measurement, national default value, or IPCC)
4. Net calorific value of HFO (GJ/mass or volume unit, default value from supplier, measurement, national default value, or IPCC)
5. Net calorific value of diesel (GJ/mass or volume unit, default value from supplier, measurement, national default value, or IPCC)
6. Net calorific value of LPG (GJ/mass or volume unit, default value from supplier, measurement, national default value, or IPCC)
7. Net calorific value of natural gas (GJ/mass or volume unit, default value from supplier, measurement, national default value, or IPCC)
8. CO</t>
    </r>
    <r>
      <rPr>
        <vertAlign val="subscript"/>
        <sz val="12"/>
        <rFont val="Arial"/>
        <family val="2"/>
      </rPr>
      <t>2</t>
    </r>
    <r>
      <rPr>
        <sz val="12"/>
        <rFont val="Arial"/>
        <family val="2"/>
      </rPr>
      <t xml:space="preserve"> emission factor of coal CO</t>
    </r>
    <r>
      <rPr>
        <vertAlign val="subscript"/>
        <sz val="12"/>
        <rFont val="Arial"/>
        <family val="2"/>
      </rPr>
      <t>2</t>
    </r>
    <r>
      <rPr>
        <sz val="12"/>
        <rFont val="Arial"/>
        <family val="2"/>
      </rPr>
      <t xml:space="preserve"> emission factor of coal (tCO</t>
    </r>
    <r>
      <rPr>
        <vertAlign val="subscript"/>
        <sz val="12"/>
        <rFont val="Arial"/>
        <family val="2"/>
      </rPr>
      <t>2</t>
    </r>
    <r>
      <rPr>
        <sz val="12"/>
        <rFont val="Arial"/>
        <family val="2"/>
      </rPr>
      <t>/GJ, default value from supplier, measurement, national default value, or IPCC)
9. CO</t>
    </r>
    <r>
      <rPr>
        <vertAlign val="subscript"/>
        <sz val="12"/>
        <rFont val="Arial"/>
        <family val="2"/>
      </rPr>
      <t>2</t>
    </r>
    <r>
      <rPr>
        <sz val="12"/>
        <rFont val="Arial"/>
        <family val="2"/>
      </rPr>
      <t xml:space="preserve"> emission factor of HFO CO</t>
    </r>
    <r>
      <rPr>
        <vertAlign val="subscript"/>
        <sz val="12"/>
        <rFont val="Arial"/>
        <family val="2"/>
      </rPr>
      <t>2</t>
    </r>
    <r>
      <rPr>
        <sz val="12"/>
        <rFont val="Arial"/>
        <family val="2"/>
      </rPr>
      <t xml:space="preserve"> emission factor of HFO (tCO</t>
    </r>
    <r>
      <rPr>
        <vertAlign val="subscript"/>
        <sz val="12"/>
        <rFont val="Arial"/>
        <family val="2"/>
      </rPr>
      <t>2</t>
    </r>
    <r>
      <rPr>
        <sz val="12"/>
        <rFont val="Arial"/>
        <family val="2"/>
      </rPr>
      <t>/GJ, default value from supplier, measurement, national default value, or IPCC)
10. CO</t>
    </r>
    <r>
      <rPr>
        <vertAlign val="subscript"/>
        <sz val="12"/>
        <rFont val="Arial"/>
        <family val="2"/>
      </rPr>
      <t>2</t>
    </r>
    <r>
      <rPr>
        <sz val="12"/>
        <rFont val="Arial"/>
        <family val="2"/>
      </rPr>
      <t xml:space="preserve"> emission factor of diesel CO</t>
    </r>
    <r>
      <rPr>
        <vertAlign val="subscript"/>
        <sz val="12"/>
        <rFont val="Arial"/>
        <family val="2"/>
      </rPr>
      <t>2</t>
    </r>
    <r>
      <rPr>
        <sz val="12"/>
        <rFont val="Arial"/>
        <family val="2"/>
      </rPr>
      <t xml:space="preserve"> emission factor of diesel (tCO</t>
    </r>
    <r>
      <rPr>
        <vertAlign val="subscript"/>
        <sz val="12"/>
        <rFont val="Arial"/>
        <family val="2"/>
      </rPr>
      <t>2</t>
    </r>
    <r>
      <rPr>
        <sz val="12"/>
        <rFont val="Arial"/>
        <family val="2"/>
      </rPr>
      <t>/GJ, default value from supplier, measurement, national default value, or IPCC)
11. CO</t>
    </r>
    <r>
      <rPr>
        <vertAlign val="subscript"/>
        <sz val="12"/>
        <rFont val="Arial"/>
        <family val="2"/>
      </rPr>
      <t>2</t>
    </r>
    <r>
      <rPr>
        <sz val="12"/>
        <rFont val="Arial"/>
        <family val="2"/>
      </rPr>
      <t xml:space="preserve"> emission factor of LPG CO</t>
    </r>
    <r>
      <rPr>
        <vertAlign val="subscript"/>
        <sz val="12"/>
        <rFont val="Arial"/>
        <family val="2"/>
      </rPr>
      <t>2</t>
    </r>
    <r>
      <rPr>
        <sz val="12"/>
        <rFont val="Arial"/>
        <family val="2"/>
      </rPr>
      <t xml:space="preserve"> emission factor of LPG (tCO</t>
    </r>
    <r>
      <rPr>
        <vertAlign val="subscript"/>
        <sz val="12"/>
        <rFont val="Arial"/>
        <family val="2"/>
      </rPr>
      <t>2</t>
    </r>
    <r>
      <rPr>
        <sz val="12"/>
        <rFont val="Arial"/>
        <family val="2"/>
      </rPr>
      <t>/GJ, default value from supplier, measurement, national default value, or IPCC)
12. CO</t>
    </r>
    <r>
      <rPr>
        <vertAlign val="subscript"/>
        <sz val="12"/>
        <rFont val="Arial"/>
        <family val="2"/>
      </rPr>
      <t>2</t>
    </r>
    <r>
      <rPr>
        <sz val="12"/>
        <rFont val="Arial"/>
        <family val="2"/>
      </rPr>
      <t xml:space="preserve"> emission factor of natural gas CO</t>
    </r>
    <r>
      <rPr>
        <vertAlign val="subscript"/>
        <sz val="12"/>
        <rFont val="Arial"/>
        <family val="2"/>
      </rPr>
      <t>2</t>
    </r>
    <r>
      <rPr>
        <sz val="12"/>
        <rFont val="Arial"/>
        <family val="2"/>
      </rPr>
      <t xml:space="preserve"> emission factor of natural gas (tCO</t>
    </r>
    <r>
      <rPr>
        <vertAlign val="subscript"/>
        <sz val="12"/>
        <rFont val="Arial"/>
        <family val="2"/>
      </rPr>
      <t>2</t>
    </r>
    <r>
      <rPr>
        <sz val="12"/>
        <rFont val="Arial"/>
        <family val="2"/>
      </rPr>
      <t>/GJ, default value from supplier, measurement, national default value, or IPCC)</t>
    </r>
  </si>
  <si>
    <t>1. Consumption of coal by the boiler 
2. Consumption of HFO (heavy fuel oil) by the boiler
3. Consumption of diesel by the boiler 
4. Consumption of LPG (liquid petroleum gas) by the boiler 
5. Consumption of by the boiler natural gas 
6. Process steam generation on hour h</t>
  </si>
  <si>
    <t>ID012</t>
  </si>
  <si>
    <t>1. Energy consumption and steam generation in boilers
2. Emission from fossil fuel consumption for boilers
3. -</t>
    <phoneticPr fontId="8"/>
  </si>
  <si>
    <t>ID_AM008</t>
  </si>
  <si>
    <t>Installation of a separate type fridge-freezer showcase by using natural refrigerant for grocery store to reduce air conditioning load inside the store</t>
  </si>
  <si>
    <t>ID_PM008</t>
  </si>
  <si>
    <t>1. Energy efficiency of the volume of the project fridge showcase (L/W, specification)
2. Energy efficiency of the volume of the reference fridge showcase (L/W, default values)
3. Energy efficiency of the cooling capacity of the project fridge showcase (W/W, specification)
4.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5. COP of the reference air conditioning system (default value of 2.85, 2.96, 3.59, or 4.00, according to kW capacity)</t>
  </si>
  <si>
    <t>Electricity consumption of the project fridge showcase</t>
  </si>
  <si>
    <t>ID_PM015</t>
  </si>
  <si>
    <t>Installation of a separate type fridge-freezer showcase by using natural refrigerant for grocery store to reduce air conditioning load inside the store, version 2.0</t>
  </si>
  <si>
    <t>1. Criterion 3: in the case of replacement of system, plan for not releasing refrigerant used for the existing system is not released to the air is required.
2. Methodology only allows manual monitoring system. Measuring equipment is installed in each fridge showcase.
3. No requirement for calibration.</t>
  </si>
  <si>
    <r>
      <t>1. Criteria 3:  in the case of replacement of system, plan for not releasing refrigerant used for the existing system is not released to the air is required,</t>
    </r>
    <r>
      <rPr>
        <sz val="12"/>
        <color rgb="FFFF0000"/>
        <rFont val="Arial"/>
        <family val="2"/>
      </rPr>
      <t xml:space="preserve"> e.g. re-use of the refrigerant. Execution of the prevention plan is confirmed at the time of verification.</t>
    </r>
    <r>
      <rPr>
        <sz val="12"/>
        <color theme="1"/>
        <rFont val="Arial"/>
        <family val="2"/>
      </rPr>
      <t xml:space="preserve">
2. Added new option of </t>
    </r>
    <r>
      <rPr>
        <sz val="12"/>
        <color rgb="FFFF0000"/>
        <rFont val="Arial"/>
        <family val="2"/>
      </rPr>
      <t xml:space="preserve">automated monitoring system. </t>
    </r>
    <r>
      <rPr>
        <sz val="12"/>
        <color theme="1"/>
        <rFont val="Arial"/>
        <family val="2"/>
      </rPr>
      <t xml:space="preserve">Measured data is automatically </t>
    </r>
    <r>
      <rPr>
        <sz val="12"/>
        <color rgb="FFFF0000"/>
        <rFont val="Arial"/>
        <family val="2"/>
      </rPr>
      <t>transmitted through internet to the remote server</t>
    </r>
    <r>
      <rPr>
        <sz val="12"/>
        <color theme="1"/>
        <rFont val="Arial"/>
        <family val="2"/>
      </rPr>
      <t xml:space="preserve"> for recording.
3. In case a calibration certificate issued by an entity accredited under national/international standards is not provided, such measuring equipment is</t>
    </r>
    <r>
      <rPr>
        <sz val="12"/>
        <color rgb="FFFF0000"/>
        <rFont val="Arial"/>
        <family val="2"/>
      </rPr>
      <t xml:space="preserve"> required to be calibrated.</t>
    </r>
  </si>
  <si>
    <t>ID_AM009</t>
  </si>
  <si>
    <t>Replacement of conventional burners with regenerative burners for aluminum holding furnaces</t>
  </si>
  <si>
    <t>Ver3.0</t>
    <phoneticPr fontId="8"/>
  </si>
  <si>
    <t>ID_PM009</t>
  </si>
  <si>
    <t>Toyotsu Machinery Corporation;
Mizuho Information &amp; Research Institute, Inc.</t>
  </si>
  <si>
    <t>Regenerative burners</t>
  </si>
  <si>
    <t>Replacement</t>
  </si>
  <si>
    <t>CO2</t>
  </si>
  <si>
    <t>- National standard (Japan)
- International standard (IPCC, etc.)
- Survey</t>
  </si>
  <si>
    <t>1. CO2 emission factor of natural gas (tCO2/GJ, country specific data or IPCC)
2. Energy efficiency of the reference burner of the project furnace (constant, calculated by formula in the methodology)
3. Energy efficiency of the project burner of the project furnace (constant, calculated by formula in the methodology)
4. Air ratio for the project burner (constant, manual of the project burner)
5. Air ratio for the reference burner (same constant as the air ratio for project burner)
6. Total maximum rated capacity of auxiliary equipments of the project furnace (specification)
7.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</si>
  <si>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t>1. Consumption of natural gas by the project furnace
2. The number of operating days</t>
  </si>
  <si>
    <t>ID_PM017</t>
  </si>
  <si>
    <t>Toyotsu Machinery Corporation, Mizuho Information &amp; Research Institute, Inc.</t>
  </si>
  <si>
    <t>PM: Data and parameters fixed ex ante:
1) Energy efficiency of the reference burner of the project furnace
2) Air ratio for the reference burner
3) Source of data for air ratio for the project burner</t>
  </si>
  <si>
    <t>1) Default value for is set as 0.682.
2) Not available
3) In explanatory note 2.</t>
  </si>
  <si>
    <t>1) Calculated using the equation in explanatory note, using operational value of air ratio recommended by in the manual of project burner
2) The same value as air ratio for project burner (recommended value in its manual) is applied
3) The recommended value in the project burner manual.</t>
  </si>
  <si>
    <t>14/04/2016 - 28/04/2016</t>
  </si>
  <si>
    <t xml:space="preserve">PMS: Requirement for calibration of flow meter </t>
  </si>
  <si>
    <t>Calibrated according to JIS B 8572-4, OIML R 117-1, or by manufacturer's specification</t>
  </si>
  <si>
    <t xml:space="preserve">Calibrated according to JIS B 7556 or the manufacturer's recommendation, </t>
  </si>
  <si>
    <t>ID_AM010</t>
  </si>
  <si>
    <t>Introducing double-bundle modular electric heat pumps to a new building</t>
  </si>
  <si>
    <t>Ver1.0</t>
    <phoneticPr fontId="8"/>
  </si>
  <si>
    <t>ID_PM010</t>
  </si>
  <si>
    <t>Toyota Tsusho Corporation</t>
  </si>
  <si>
    <t>Heat pump, Double bundle-type heat pump</t>
  </si>
  <si>
    <t>Voluntary or national standards and targets</t>
    <phoneticPr fontId="8"/>
  </si>
  <si>
    <t>- National standard (Indonesia)
- International standard (CDM)</t>
  </si>
  <si>
    <r>
      <t>1. Efficiency of the reference equipment for heating energy generation (0.9, CDM)
2. Efficiency of the reference equipment for cooling energy generation (3.7, Indonesian National Standard)
3. CO</t>
    </r>
    <r>
      <rPr>
        <vertAlign val="subscript"/>
        <sz val="12"/>
        <rFont val="Arial"/>
        <family val="2"/>
      </rPr>
      <t>2</t>
    </r>
    <r>
      <rPr>
        <sz val="12"/>
        <rFont val="Arial"/>
        <family val="2"/>
      </rPr>
      <t xml:space="preserve"> emission factor for the oil consumed by the reference equipment for heating energy generation (tCO</t>
    </r>
    <r>
      <rPr>
        <vertAlign val="subscript"/>
        <sz val="12"/>
        <rFont val="Arial"/>
        <family val="2"/>
      </rPr>
      <t>2</t>
    </r>
    <r>
      <rPr>
        <sz val="12"/>
        <rFont val="Arial"/>
        <family val="2"/>
      </rPr>
      <t>/GJ, default value from supplier, measurement, national default value, or IPCC)
4. Specific heat capacity of water (4.186 MJ/tonne degree Celsius)
5. Density of water (1 tonne/m3)
6.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7. CO</t>
    </r>
    <r>
      <rPr>
        <vertAlign val="subscript"/>
        <sz val="12"/>
        <rFont val="Arial"/>
        <family val="2"/>
      </rPr>
      <t>2</t>
    </r>
    <r>
      <rPr>
        <sz val="12"/>
        <rFont val="Arial"/>
        <family val="2"/>
      </rPr>
      <t xml:space="preserve"> emission factor for the oil consumed by the project  (tCO</t>
    </r>
    <r>
      <rPr>
        <vertAlign val="subscript"/>
        <sz val="12"/>
        <rFont val="Arial"/>
        <family val="2"/>
      </rPr>
      <t>2</t>
    </r>
    <r>
      <rPr>
        <sz val="12"/>
        <rFont val="Arial"/>
        <family val="2"/>
      </rPr>
      <t>/kL, default value from supplier, measurement, national default value, or IPCC)</t>
    </r>
  </si>
  <si>
    <t>1. Quantity of heating energy utilized by the project building
2. Quantity of cooling energy utilized by the project building
3. Oil consumed by the project
4. Electricity consumed by the modular heat pump
5. Electricity consumed by auxiliary electric equipment of the modular heat pump
6. Electricity consumed by other chilled water generating equipment
7. Electricity consumed by auxiliary electric equipment of the other chilled water generating equipment</t>
  </si>
  <si>
    <t>ID008</t>
  </si>
  <si>
    <t>ID_AM011</t>
  </si>
  <si>
    <t>Installation of energy saving air jet loom at textile factory</t>
  </si>
  <si>
    <t>3. Energy demand</t>
    <phoneticPr fontId="8"/>
  </si>
  <si>
    <t>ID_PM018</t>
  </si>
  <si>
    <t>Toray Industries Inc.</t>
  </si>
  <si>
    <t>- Benchmarking approach
- Historical situation or performance</t>
  </si>
  <si>
    <t>- Own record
- Experimental data</t>
  </si>
  <si>
    <r>
      <t>1. Specific electricity consumption of the air compressors at the project factory (kWh/Nm3, manufacturer)
2. Specific air consumption of the project air jet loom at the project factory (Nm3/m, manufacturer)</t>
    </r>
    <r>
      <rPr>
        <i/>
        <sz val="12"/>
        <rFont val="Arial"/>
        <family val="2"/>
      </rPr>
      <t xml:space="preserve">
</t>
    </r>
    <r>
      <rPr>
        <sz val="12"/>
        <rFont val="Arial"/>
        <family val="2"/>
      </rPr>
      <t>3. Reduction rate of specific air consumption of the project air jet loom at the project factory (%, measurement)
4.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r>
  </si>
  <si>
    <t>Amount of fabric woven in the project (m/p)</t>
  </si>
  <si>
    <t>ID_AM012</t>
  </si>
  <si>
    <t>Reduction of Energy Consumption by Introducing an Energy-Efficient Old Corrugated Carton Processing System into a Cardboard Factory</t>
  </si>
  <si>
    <t>3. Energy demand; 
4. Manufacturing industries</t>
  </si>
  <si>
    <t>ID_PM016</t>
  </si>
  <si>
    <t>Nomura Research Institute, Ltd.</t>
  </si>
  <si>
    <t>Old corrugated carton processing system</t>
  </si>
  <si>
    <t>1. Reference specific electricity consumption of the OCC line (MWh/ton, daily measurement)
2.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</si>
  <si>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t>1. Paper production measured at the PM line connected to the project OCC line
2. Electricity consumption of the project OCC line</t>
  </si>
  <si>
    <t>ID011</t>
  </si>
  <si>
    <t>ID_AM013</t>
  </si>
  <si>
    <t>Ver1.0</t>
    <phoneticPr fontId="8"/>
  </si>
  <si>
    <t>ID_PM020</t>
  </si>
  <si>
    <r>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selected from the list based on the national/regional grid (tCO</t>
    </r>
    <r>
      <rPr>
        <vertAlign val="subscript"/>
        <sz val="12"/>
        <rFont val="Arial"/>
        <family val="2"/>
      </rPr>
      <t>2</t>
    </r>
    <r>
      <rPr>
        <sz val="12"/>
        <rFont val="Arial"/>
        <family val="2"/>
      </rPr>
      <t>/MWh)
'- In the case where project solar PV system(s) is connected to an internal grid which
is connected to both the national/regional grid and a captive power generator (PV Case 2), default value is selected from the list based on the national/regional grid (tCO2/MWh)
- In the case where project solar PV system(s) is connected to a captive power
generator and not connected to the national/regional grid, default value is 0.533 tCO2/MWh</t>
    </r>
  </si>
  <si>
    <t>ID017, ID018</t>
    <phoneticPr fontId="8"/>
  </si>
  <si>
    <t>ID_AM014</t>
  </si>
  <si>
    <t>Installation of Tribrid Systems to mobile communication’s Base Transceiver Stations</t>
  </si>
  <si>
    <t>Base Tranceiver Stations (BTS)</t>
    <phoneticPr fontId="8"/>
  </si>
  <si>
    <t>ID_PM021</t>
  </si>
  <si>
    <t>KDDI corporation</t>
  </si>
  <si>
    <t>Solar photovoltaic (PV) system, Tribrid system, Batteries</t>
    <phoneticPr fontId="8"/>
  </si>
  <si>
    <t>1. Design efficiency of diesel generator operated at the project BTS at the time of
validation at 25% load to be installed at BTSi (L/h)
2. Grid CO2 emission factor (tCO2/MWh)
3. Weighted average density of diesel (kg/L)
4. Net calorific value of diesel (TJ/Gg)
5. Diesel CO2 emission factor (kgCO2/TJ)</t>
  </si>
  <si>
    <t>1. The amount of grid electricity consumed at BTS
2. The quantity of diesel consumed at BTS
3. The amount of electricity generated by the project diesel
generator at BTS
4. The amount of electricity generated by the project solar PV
systems at BTS
5. Hours for which electricity is available from grid at BTS
6. Hours of operation of BTS</t>
  </si>
  <si>
    <t>ID016</t>
  </si>
  <si>
    <t>ID_AM015</t>
  </si>
  <si>
    <t>Energy Saving by Introduction of High Efficiency Once-through Boiler</t>
  </si>
  <si>
    <t>Commercial &amp; household,
Factory</t>
  </si>
  <si>
    <t>ID_PM022</t>
  </si>
  <si>
    <t>Boiler</t>
  </si>
  <si>
    <t>1. Net calorific value of fuel (IPCC default value)
2. CO2 emission factor of fuel (IPCC default value)
3. CO2 emission factor of fuel used by the reference boiler (IPCC default value)
4. Efficiency of project boiler (%)
5. Efficiency of reference boiler (default value: 85%)
6. Blow flow rate setting of the project boiler (%)
7. Blow flow rate setting of reference boiler (%)</t>
  </si>
  <si>
    <t>Amount of fuel consumption</t>
  </si>
  <si>
    <t>ID_AM016</t>
  </si>
  <si>
    <t>Installation of gas engine cogeneration system to supply electricity and heat to facility</t>
  </si>
  <si>
    <t>Indonesia</t>
    <phoneticPr fontId="8"/>
  </si>
  <si>
    <t>Energy efficiency</t>
    <phoneticPr fontId="8"/>
  </si>
  <si>
    <t>Non-biomass</t>
  </si>
  <si>
    <t>ID_PM023</t>
  </si>
  <si>
    <t>Co-generation system</t>
  </si>
  <si>
    <t>1. Reference boiler efficiency (default value: 89.0%)
2. Net calorific value of gas fuel consumed by the CGS (MJ/Nm3)
3. CO2 emission factor for consumed electricity in the facility (tCO2/MWh)
4. CO2 emission factor for fossil fuel consumed by the reference boiler in the facility (tCO2/GJ)
5. CO2 emission factor for gas fuel consumed by the CGS (tCO2/GJ)
6. Heat generative capacity of the existing steam boiler (kg/h) or hot water boiler (kW)</t>
  </si>
  <si>
    <r>
      <t>1. Amount of electricity consumption by the facility(ies) which
is generated by the CGS(s)
2. Amount of gas fuel consumption by the CGS(s) [Nm3/p]</t>
    </r>
    <r>
      <rPr>
        <i/>
        <sz val="12"/>
        <rFont val="Arial"/>
        <family val="2"/>
      </rPr>
      <t xml:space="preserve">
For option 1:</t>
    </r>
    <r>
      <rPr>
        <sz val="12"/>
        <rFont val="Arial"/>
        <family val="2"/>
      </rPr>
      <t xml:space="preserve">
3. Amount of heat consumption by the facility(ies) which is
generated by the CGS(s) [GJ/p]
</t>
    </r>
    <r>
      <rPr>
        <i/>
        <sz val="12"/>
        <rFont val="Arial"/>
        <family val="2"/>
      </rPr>
      <t>For option 2:</t>
    </r>
    <r>
      <rPr>
        <sz val="12"/>
        <rFont val="Arial"/>
        <family val="2"/>
      </rPr>
      <t xml:space="preserve">
4. Amount of heat supply to the facility(ies) which is generated
by the CGS(s) [GJ/p]
5. Number of days during the monitoring period
</t>
    </r>
    <phoneticPr fontId="8"/>
  </si>
  <si>
    <t>ID019</t>
    <phoneticPr fontId="8"/>
  </si>
  <si>
    <t>Installation of Solar PV System and Storage Battery System</t>
  </si>
  <si>
    <t>1. Energy industries (renewable-/non-renewable sources)</t>
    <phoneticPr fontId="8"/>
  </si>
  <si>
    <t>Renewable energy</t>
    <phoneticPr fontId="8"/>
  </si>
  <si>
    <t>Solar photovoltaic (PV)</t>
    <phoneticPr fontId="8"/>
  </si>
  <si>
    <t>New installation</t>
    <phoneticPr fontId="8"/>
  </si>
  <si>
    <t>Installation of LED Street Lighting with Lighting Control System</t>
  </si>
  <si>
    <t>Public facility</t>
  </si>
  <si>
    <t>-</t>
    <phoneticPr fontId="8"/>
  </si>
  <si>
    <t>Electricity generation by installation of run-of-river hydro power generation system(s) in Indonesia</t>
  </si>
  <si>
    <t>ID_PM028</t>
  </si>
  <si>
    <t>Commercial &amp; household</t>
    <phoneticPr fontId="8"/>
  </si>
  <si>
    <t>ID_PM030</t>
  </si>
  <si>
    <t>FAST RETAILING CO., LTD.</t>
  </si>
  <si>
    <t>Electricity generation by rehabilitation of run-of-river hydro power generation system(s) in Indonesia</t>
  </si>
  <si>
    <t>1. Energy industries (renewable/non-renewable sources)</t>
  </si>
  <si>
    <t>ID_PM031</t>
  </si>
  <si>
    <t>1. Maximum output of reference hydro power generation system
2. Maximum output of project hydro power generation system
3. Reference CO2 emission factor for the project hydro power generation system</t>
    <phoneticPr fontId="8"/>
  </si>
  <si>
    <t>Factory</t>
    <phoneticPr fontId="8"/>
  </si>
  <si>
    <t>KE_AM001</t>
  </si>
  <si>
    <t>Kenya</t>
  </si>
  <si>
    <t>KE_PM001</t>
  </si>
  <si>
    <t>- National standard (Kenya)
- International standard (CDM)</t>
  </si>
  <si>
    <r>
      <t>1. CO</t>
    </r>
    <r>
      <rPr>
        <vertAlign val="subscript"/>
        <sz val="12"/>
        <rFont val="Arial"/>
        <family val="2"/>
      </rPr>
      <t>2</t>
    </r>
    <r>
      <rPr>
        <sz val="12"/>
        <rFont val="Arial"/>
        <family val="2"/>
      </rPr>
      <t xml:space="preserve"> emission factor of national electricity grid (0.5893 tCO</t>
    </r>
    <r>
      <rPr>
        <vertAlign val="subscript"/>
        <sz val="12"/>
        <rFont val="Arial"/>
        <family val="2"/>
      </rPr>
      <t>2</t>
    </r>
    <r>
      <rPr>
        <sz val="12"/>
        <rFont val="Arial"/>
        <family val="2"/>
      </rPr>
      <t>/MWh, Grid Emission Factor of Kenya), to be used for displacement of electricity in grid-accessible areas
2.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CDM)), to be used for displacement of electricity in grid-inaccessible areas, where electricity consumption of individual consumer is not monitored
3. CO</t>
    </r>
    <r>
      <rPr>
        <vertAlign val="subscript"/>
        <sz val="12"/>
        <rFont val="Arial"/>
        <family val="2"/>
      </rPr>
      <t>2</t>
    </r>
    <r>
      <rPr>
        <sz val="12"/>
        <rFont val="Arial"/>
        <family val="2"/>
      </rPr>
      <t xml:space="preserve"> emission factor of the lighting from kerosene lamps (6.8 tCO</t>
    </r>
    <r>
      <rPr>
        <vertAlign val="subscript"/>
        <sz val="12"/>
        <rFont val="Arial"/>
        <family val="2"/>
      </rPr>
      <t>2</t>
    </r>
    <r>
      <rPr>
        <sz val="12"/>
        <rFont val="Arial"/>
        <family val="2"/>
      </rPr>
      <t>/MWh, CDM), to be used for displacement of electricity in grid-inaccessible areas, where electricity consumption of individual consumer is monitored
4.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CDM), to be used for displacement of electricity in grid-inaccessible areas, where electricity consumption of individual consumer is monitored</t>
    </r>
  </si>
  <si>
    <t>KE_AM002</t>
  </si>
  <si>
    <t>KE_PM002</t>
  </si>
  <si>
    <r>
      <t>Reference CO</t>
    </r>
    <r>
      <rPr>
        <vertAlign val="subscript"/>
        <sz val="12"/>
        <rFont val="Arial"/>
        <family val="2"/>
      </rPr>
      <t>2</t>
    </r>
    <r>
      <rPr>
        <sz val="12"/>
        <rFont val="Arial"/>
        <family val="2"/>
      </rPr>
      <t xml:space="preserve"> emission factor for the project solar PV system (0.533 tCO</t>
    </r>
    <r>
      <rPr>
        <vertAlign val="subscript"/>
        <sz val="12"/>
        <rFont val="Arial"/>
        <family val="2"/>
      </rPr>
      <t>2</t>
    </r>
    <r>
      <rPr>
        <sz val="12"/>
        <rFont val="Arial"/>
        <family val="2"/>
      </rPr>
      <t>/MWh, survey)</t>
    </r>
  </si>
  <si>
    <t>Quantity of the electricity generated by the project solar PV system(s).</t>
  </si>
  <si>
    <t>KE_AM003</t>
  </si>
  <si>
    <t>Installation of Run-of-river Small Hydropower Generation Plant</t>
  </si>
  <si>
    <t>KE_PM003</t>
  </si>
  <si>
    <t>Quantity of electricity generated by project small hydropower plant.</t>
  </si>
  <si>
    <t>KH_AM001</t>
  </si>
  <si>
    <t>Installation of LED street lighting system with wireless network control</t>
  </si>
  <si>
    <t>Cambodia</t>
  </si>
  <si>
    <t>KH_PM_001</t>
  </si>
  <si>
    <t>Minebea, 
Mitsubishi UFJ Morgan Stanley Securities</t>
  </si>
  <si>
    <t>LED lighting, LED Street Lighting with Dimming System</t>
  </si>
  <si>
    <t>National standard (Japan)</t>
  </si>
  <si>
    <r>
      <t>1. Identification number of lighting system
2. Rated power consumption of a lighting equipment used in the project lighting system (W, specification)
3. Luminaire efficiency of a lighting equipment used in the project lighting system (lm/W, specification)
4. Luminaire efficiency of the reference lighting system (lm/W, specification)
5. CO</t>
    </r>
    <r>
      <rPr>
        <vertAlign val="subscript"/>
        <sz val="12"/>
        <rFont val="Arial"/>
        <family val="2"/>
      </rPr>
      <t>2</t>
    </r>
    <r>
      <rPr>
        <sz val="12"/>
        <rFont val="Arial"/>
        <family val="2"/>
      </rPr>
      <t xml:space="preserve"> grid emission factor, for consumed electricity from grid generation (tCO</t>
    </r>
    <r>
      <rPr>
        <vertAlign val="subscript"/>
        <sz val="12"/>
        <rFont val="Arial"/>
        <family val="2"/>
      </rPr>
      <t>2</t>
    </r>
    <r>
      <rPr>
        <sz val="12"/>
        <rFont val="Arial"/>
        <family val="2"/>
      </rPr>
      <t>/MWh, national Grid Emission Factor of Cambodia)</t>
    </r>
  </si>
  <si>
    <t>1. Total operating hours of project lighting system
2. Total amount of electricity consumed in the project lighting system</t>
  </si>
  <si>
    <t>KH_AM002</t>
  </si>
  <si>
    <t>- Country data
- International standard (OECD)
- Survey</t>
  </si>
  <si>
    <t>Reference CO2 emission factor for the project solar PV system.
The value is selected from the options of default emission factor, based on the connectivity to the national grid and/or captive power generator in the following manner: 
- In the case where project solar PV systems is connected to the national grid or connected to both the national grid and captive power generator, default value is 0.353 tCO2/MWh
- In the case where project solar PV systems is not connected to the national grid but connected to a captive power generator, default value is 0.533 tCO2/MWh</t>
  </si>
  <si>
    <t>1. Quantity of the electricity generated by the project solar PV
system(s)
2. Category of the day monitored (business day or holiday)</t>
  </si>
  <si>
    <t>KH001</t>
  </si>
  <si>
    <t>LA_AM001</t>
  </si>
  <si>
    <t>Installation and operation of energy-efficient data center (DC) in the Lao PDR</t>
  </si>
  <si>
    <t>Lao PDR</t>
  </si>
  <si>
    <t>LA_PM001</t>
  </si>
  <si>
    <t>Toyota Tsusho Corporation
Internet Initiative Japan Inc,
Mitsubishi UFJ Morgan Stanley Securities Co.,
Ltd</t>
  </si>
  <si>
    <t>Data centre</t>
  </si>
  <si>
    <t>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</si>
  <si>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r>
      <t xml:space="preserve">1. Electricity consumption of project DC during the period </t>
    </r>
    <r>
      <rPr>
        <i/>
        <sz val="12"/>
        <rFont val="Arial"/>
        <family val="2"/>
      </rPr>
      <t xml:space="preserve">p.
</t>
    </r>
    <r>
      <rPr>
        <sz val="12"/>
        <rFont val="Arial"/>
        <family val="2"/>
      </rPr>
      <t xml:space="preserve">2. Sum of electricity consumption by IT equipment measured by electricity meter during the period </t>
    </r>
    <r>
      <rPr>
        <i/>
        <sz val="12"/>
        <rFont val="Arial"/>
        <family val="2"/>
      </rPr>
      <t>p.</t>
    </r>
  </si>
  <si>
    <t>LA001</t>
  </si>
  <si>
    <t>LA_AM002</t>
  </si>
  <si>
    <t>LA_PM002</t>
  </si>
  <si>
    <t>Solar photovoltaic (PV) system</t>
    <phoneticPr fontId="8"/>
  </si>
  <si>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 grid (Lao Power Grid) (PV Case 1), default value is 0.319 tCO2/MWh.
'- In the case where project solar PV system(s) is connected to both the national grid (Lao Power Grid) and a captive power generator (PV Case 2), default value is 0.319 tCO2/MWh.
- In the case where project solar PV system(s) is only connected to a captive power
generator and not connected to the national grid (Lao Power Grid) (PV Case 3), default value is 0.533 tCO2/MWh</t>
  </si>
  <si>
    <t>The quantity of the electricity generated by the project solar PV
system(s)</t>
  </si>
  <si>
    <t>LA_AM003</t>
  </si>
  <si>
    <t>Installation of energy efficient transformers in a power distribution grid</t>
  </si>
  <si>
    <t>LA_PM003</t>
  </si>
  <si>
    <t>- Benchmarking approach
- National standards and targets</t>
  </si>
  <si>
    <t>- National standard (Lao)
- Survey</t>
  </si>
  <si>
    <t>1. No-load losses of the reference transformer, from the latest standard or from specification required by the power company
2. No-load losses of the project transformer for the power company, from manufacturer’s performance test or from specification required by the power company
3. Blackout rate, default value is set as 1.55%, data from power companies
4. Maximum allowable uncertainty for the no-load losses of the project transformer, from manufacturer’s performance test or 0.15 as specified in IEC 60076
5. CO2 emission factor of the grid, from the latest national data</t>
  </si>
  <si>
    <t>Energizing time of the project transformer</t>
  </si>
  <si>
    <t>Power generation and avoidance of landfill gas emissions through combustion of municipal</t>
  </si>
  <si>
    <t>Myanmar</t>
  </si>
  <si>
    <t xml:space="preserve">1. Energy industries (renewable - / non-renewable sources); 
13. Waste handling and disposal; </t>
  </si>
  <si>
    <t xml:space="preserve">Waste </t>
  </si>
  <si>
    <t>MM_PM001</t>
  </si>
  <si>
    <t>Incinerators, Bioler</t>
  </si>
  <si>
    <r>
      <t>CO</t>
    </r>
    <r>
      <rPr>
        <vertAlign val="subscript"/>
        <sz val="12"/>
        <rFont val="Arial"/>
        <family val="2"/>
      </rPr>
      <t>2</t>
    </r>
    <r>
      <rPr>
        <sz val="12"/>
        <rFont val="Arial"/>
        <family val="2"/>
      </rPr>
      <t>,
N</t>
    </r>
    <r>
      <rPr>
        <vertAlign val="subscript"/>
        <sz val="12"/>
        <rFont val="Arial"/>
        <family val="2"/>
      </rPr>
      <t>2</t>
    </r>
    <r>
      <rPr>
        <sz val="12"/>
        <rFont val="Arial"/>
        <family val="2"/>
      </rPr>
      <t>O</t>
    </r>
  </si>
  <si>
    <t>Modeling</t>
  </si>
  <si>
    <r>
      <t xml:space="preserve">1. Model correction factor to account for uncertainties (default value: 0.8)
2. Fraction of methane captured at a SWDS and flared, combusted or used in another manner that prevents the emissions of methane to the atmosphere (default value: 0)
3. Global Warming Potential of methane (default value: 25 tCO2e/tCH4)
4. Oxidation factor (default value: 0.1)
5. Fraction of methane in the SWDS gas (default value: 0.5)
6. Fraction of degradable organic carbon that  decomposes under the specific conditions occurring in a SWDS (default value: 0.5)
7. Methane correction factor (default values according to location)
8. CO2 emission factor for consumed electricity from grid generation 
9. Combustion efficiency of incinerator (default value: 100%)
10. Emission factor for N2O associated with incineration [tN2O/t waste]
11. Global Warming Potential of N2O (298 tCO2e/N2O)
12. Net calorific value of fuel [GJ/kL or m3]
13. CO2 emission factor of fuel [tCO2/GJ]
</t>
    </r>
    <r>
      <rPr>
        <i/>
        <sz val="12"/>
        <rFont val="Arial"/>
        <family val="2"/>
      </rPr>
      <t>Parameters with default values set for each waste type:</t>
    </r>
    <r>
      <rPr>
        <sz val="12"/>
        <rFont val="Arial"/>
        <family val="2"/>
      </rPr>
      <t xml:space="preserve">
14. Fraction of degradable organic carbon in the waste
15. Decay rate
16. Fraction of the waste
17. Fraction of total carbon content
18. Fraction of fossil carbon in total carbon content of waste
19. Dry matter content of MSW [%]</t>
    </r>
  </si>
  <si>
    <t>1. Quantity of MSW fed into incinerator (wet basis)
2. Quantity of electricity generated by the project facility
3. Quantity of electricity consumed by the project facility
4. Quantity of auxiliary fossil fuel consumed</t>
  </si>
  <si>
    <t>MM_AM002</t>
  </si>
  <si>
    <t>Installation of Energy-efficient Refrigerators Using Natural Refrigerant at Cold Storage</t>
  </si>
  <si>
    <t>Factory</t>
    <phoneticPr fontId="8"/>
  </si>
  <si>
    <t>MM_PM002</t>
  </si>
  <si>
    <t>Ryobi Holdings Co., Ltd.</t>
  </si>
  <si>
    <t>Regrigerator</t>
    <phoneticPr fontId="8"/>
  </si>
  <si>
    <t>Benchmarking approach</t>
    <phoneticPr fontId="8"/>
  </si>
  <si>
    <t>Survey</t>
    <phoneticPr fontId="8"/>
  </si>
  <si>
    <t>1. CO2 emission factor for consumed electricity
2. COP of the reference refrigerator
3. COP of the project refrigerator
4. power generation efficiency
5. Net calorific value of consumed fuel
6. CO2 emission factor of consumed fuel</t>
    <phoneticPr fontId="8"/>
  </si>
  <si>
    <t>MM_AM003</t>
  </si>
  <si>
    <t>Energy efficiency</t>
    <phoneticPr fontId="8"/>
  </si>
  <si>
    <t>MM_PM003</t>
  </si>
  <si>
    <t>Boiler</t>
    <phoneticPr fontId="8"/>
  </si>
  <si>
    <t>1. Net calorific value of fuel used by the project boiler for the fuel type
2. CO2 emission factor of fuel used by the project boiler for the fuel type
3. CO2 emission factor of fuel used by the reference boiler
4. Efficiency of project boiler
5. Efficiency of reference boiler</t>
    <phoneticPr fontId="8"/>
  </si>
  <si>
    <t>MM_AM004</t>
  </si>
  <si>
    <t>Installation of rice husk power plant in Ayeyarwady region</t>
  </si>
  <si>
    <t>1. Energy industries (renewable – / non-renewable sources)</t>
  </si>
  <si>
    <t>MM_PM004</t>
  </si>
  <si>
    <t>Fujita Corporation</t>
  </si>
  <si>
    <t>Historical situation or performance</t>
    <phoneticPr fontId="8"/>
  </si>
  <si>
    <t>MN_AM001</t>
  </si>
  <si>
    <t>Installation of energy-saving transmission lines in the Mongolian Grid</t>
  </si>
  <si>
    <t>Mongolia</t>
  </si>
  <si>
    <t>2. Energy distribution</t>
  </si>
  <si>
    <t>Supply side</t>
  </si>
  <si>
    <t>MN_PM001</t>
  </si>
  <si>
    <t>Hitachi, Ltd.</t>
  </si>
  <si>
    <t>Transmission line</t>
  </si>
  <si>
    <t>- National standard (Mongolia)
- International standard (IEC)</t>
  </si>
  <si>
    <r>
      <t>1. Direct current resistance of transmission line L using currently used transmission conductors (</t>
    </r>
    <r>
      <rPr>
        <sz val="12"/>
        <rFont val="Segoe UI"/>
        <family val="2"/>
      </rPr>
      <t>Ω</t>
    </r>
    <r>
      <rPr>
        <sz val="12"/>
        <rFont val="Arial"/>
        <family val="2"/>
      </rPr>
      <t>/km, default value of 0.0718, 0.0939, or 0.1158, according to the type of conductors, Mongolian national standard)
2. Direct current resistance of transmission line L using LL-ACSR/SA conductors at 20 deg. C (</t>
    </r>
    <r>
      <rPr>
        <sz val="12"/>
        <rFont val="Segoe UI"/>
        <family val="2"/>
      </rPr>
      <t>Ω</t>
    </r>
    <r>
      <rPr>
        <sz val="12"/>
        <rFont val="Arial"/>
        <family val="2"/>
      </rPr>
      <t>/km, measured according to IEC 60468)</t>
    </r>
  </si>
  <si>
    <r>
      <t>1. Power sent from the point of origin/supply to the transmission line
2. Power received at the point of receipt of the transmission line
3. CO</t>
    </r>
    <r>
      <rPr>
        <vertAlign val="subscript"/>
        <sz val="12"/>
        <rFont val="Arial"/>
        <family val="2"/>
      </rPr>
      <t>2</t>
    </r>
    <r>
      <rPr>
        <sz val="12"/>
        <rFont val="Arial"/>
        <family val="2"/>
      </rPr>
      <t xml:space="preserve"> emission factor of the grid</t>
    </r>
  </si>
  <si>
    <t>MN005</t>
  </si>
  <si>
    <t>MN_AM002</t>
  </si>
  <si>
    <t>Replacement and Installation of High Efficiency Heat Only Boiler (HOB) for Hot Water Supply Systems</t>
  </si>
  <si>
    <t>MN_PM002</t>
  </si>
  <si>
    <t>Suuri-Keikaku CO., LTD.; 
Climate Experts LTD.</t>
  </si>
  <si>
    <r>
      <t>1. Rated power consumption of the project HOB (kW, boiler specification)
2. CO</t>
    </r>
    <r>
      <rPr>
        <vertAlign val="subscript"/>
        <sz val="12"/>
        <rFont val="Arial"/>
        <family val="2"/>
      </rPr>
      <t>2</t>
    </r>
    <r>
      <rPr>
        <sz val="12"/>
        <rFont val="Arial"/>
        <family val="2"/>
      </rPr>
      <t xml:space="preserve"> emission factor of the grid electricity consumed by the project HOB (tCO2/MWh, National Grid Emission Factor of Mongolia)</t>
    </r>
  </si>
  <si>
    <t>1. Net heat quantity supplied by the project HOB (heat only boiler)
2. Total hours of the project HOB operation</t>
  </si>
  <si>
    <t>MN001, MN002</t>
  </si>
  <si>
    <t>MN_AM003</t>
  </si>
  <si>
    <t>Renewable energy</t>
    <phoneticPr fontId="8"/>
  </si>
  <si>
    <t>Reference CO2 emission factor for the project solar PV system. 
The value is selected from the options of default emission factor, based on the connectivity to the national grid and/or captive diesel power generator.
- In the case where project solar PV systems is connected to the national grid and not connected to captive power generator, default value is 0.797 tCO2/MWh
- In case the PV system in a proposed project activity is connected to both the national grid and a captive power generator, defaul value is 0.533 tCO2/MWh 
- In the case where project solar PV systems is not connected to the national grid but connected only to a captive power generator, default value is 0.533 tCO2/MWh</t>
  </si>
  <si>
    <t>MN003, MN004</t>
  </si>
  <si>
    <t>MN_PM004</t>
  </si>
  <si>
    <r>
      <t xml:space="preserve">The electricity meter is certified by an entity accredited under international/national standards. The electricity meter is replaced or </t>
    </r>
    <r>
      <rPr>
        <sz val="12"/>
        <color rgb="FFFF0000"/>
        <rFont val="Arial"/>
        <family val="2"/>
      </rPr>
      <t>tested for accuracy</t>
    </r>
    <r>
      <rPr>
        <sz val="12"/>
        <color theme="1"/>
        <rFont val="Arial"/>
        <family val="2"/>
      </rPr>
      <t xml:space="preserve"> at an interval following the regulations in the country in which the electricity meter is commonly used or according to the manufacturer’s recommendation. </t>
    </r>
    <r>
      <rPr>
        <sz val="12"/>
        <color rgb="FFFF0000"/>
        <rFont val="Arial"/>
        <family val="2"/>
      </rPr>
      <t>The electricity meter is calibrated or replaced when it fails to pass the test.</t>
    </r>
  </si>
  <si>
    <r>
      <t xml:space="preserve">The electricity meter is replaced or </t>
    </r>
    <r>
      <rPr>
        <sz val="12"/>
        <color rgb="FFFF0000"/>
        <rFont val="Arial"/>
        <family val="2"/>
      </rPr>
      <t>calibrated</t>
    </r>
    <r>
      <rPr>
        <sz val="12"/>
        <color theme="1"/>
        <rFont val="Arial"/>
        <family val="2"/>
      </rPr>
      <t xml:space="preserve"> at an interval following the regulations in the country in which the electricity meter is commonly used or according to the manufacturer’s recommendation </t>
    </r>
    <r>
      <rPr>
        <sz val="12"/>
        <color rgb="FFFF0000"/>
        <rFont val="Arial"/>
        <family val="2"/>
      </rPr>
      <t xml:space="preserve">unless the electricity meter has obtained type approval, manufacturer’s specification, or certification issued by an entity accredited under international/national standards by the time of installation. </t>
    </r>
  </si>
  <si>
    <t>27/12/2016   -  10/01/2017</t>
  </si>
  <si>
    <t>MV_AM001</t>
  </si>
  <si>
    <t>Displacement of Grid and Captive Genset Electricity by Solar PV System</t>
  </si>
  <si>
    <t>Maldives</t>
  </si>
  <si>
    <t>MV_PM001</t>
  </si>
  <si>
    <r>
      <t>Reference CO</t>
    </r>
    <r>
      <rPr>
        <vertAlign val="subscript"/>
        <sz val="12"/>
        <rFont val="Arial"/>
        <family val="2"/>
      </rPr>
      <t>2</t>
    </r>
    <r>
      <rPr>
        <sz val="12"/>
        <rFont val="Arial"/>
        <family val="2"/>
      </rPr>
      <t xml:space="preserve"> emission factor of grid and captive electricity (default value of 0.533 tCO</t>
    </r>
    <r>
      <rPr>
        <vertAlign val="subscript"/>
        <sz val="12"/>
        <rFont val="Arial"/>
        <family val="2"/>
      </rPr>
      <t>2</t>
    </r>
    <r>
      <rPr>
        <sz val="12"/>
        <rFont val="Arial"/>
        <family val="2"/>
      </rPr>
      <t>/MWh)</t>
    </r>
  </si>
  <si>
    <t>Quantity of the electricity generated by the project solar PV system</t>
  </si>
  <si>
    <t>MV001</t>
  </si>
  <si>
    <t>MX_AM001</t>
  </si>
  <si>
    <t>Mexico</t>
  </si>
  <si>
    <t>MX_PM001</t>
  </si>
  <si>
    <t>Electronic Decision</t>
  </si>
  <si>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0.434 tCO2/MWh.
'- In the case where project solar PV system(s) is connected to an internal grid which
is connected to both the national/regional grid and a captive power generator (PV Case 2), default value is 0.434 tCO2/MWh.
- In the case where project solar PV system(s) is connected to a captive power
generator and not connected to the national/regional grid (Case 3), default value is 0.533 tCO2/MWh.</t>
  </si>
  <si>
    <t>PW_AM001</t>
  </si>
  <si>
    <t>Displacement of Grid and Captive Genset Electricity by a Small-scale Solar PV System</t>
  </si>
  <si>
    <t>Palau</t>
  </si>
  <si>
    <t>PW_PM001</t>
  </si>
  <si>
    <t>PW001,
PW002,
PW003</t>
  </si>
  <si>
    <t>SA_AM001</t>
  </si>
  <si>
    <t>Introduction of High Efficiency Electrolyzer in Chlor-Alkali Processing Plant</t>
  </si>
  <si>
    <t>Saudi Arabia</t>
  </si>
  <si>
    <t>SA_PM001</t>
  </si>
  <si>
    <t>Thyssenkrupp Uhde Chlorine Engineers
(Japan) Ltd.,
Kanematsu Corporation</t>
  </si>
  <si>
    <t>Electrolyzer</t>
    <phoneticPr fontId="8"/>
  </si>
  <si>
    <t>1. Specific electricity consumption of the reference electrolyzer (default value options are set as 2,045; 2,088; 2,131; 2,174; 2,217 kWh(DC)/t-NaOH, selected based on current
density of project electrolyzer
2. Specific electricity consumption of the project electrolyzer (kWh (DC)/t-NaOH)
3. CO2 emissions factor of the electricity consumed (tCO2/MWh)
If the project is connected to the national grid, national Grid Emission Factor of Saudi Arabia is applied; if the project is connected to captive generation, default value of 0.8 tCO2/MWh, CDM is applied)</t>
  </si>
  <si>
    <t>1. Electricity consumption of project electrolyzer
2. Amount of fuel consumed and/or the amount of
electricity generated by captive power, where applicable</t>
  </si>
  <si>
    <t>TH_AM001</t>
  </si>
  <si>
    <t>Thailand</t>
  </si>
  <si>
    <t>TH_PM001</t>
  </si>
  <si>
    <t>Reference CO2 emission factor for the project solar PV system (default value is set as 0.319 tCO2/MWh)</t>
  </si>
  <si>
    <t>Quantity of the electricity generated by the project solar PV system(s)</t>
  </si>
  <si>
    <t>TH001</t>
  </si>
  <si>
    <t>TH_AM002</t>
  </si>
  <si>
    <t>Energy Saving by Introduction of Multi-stage Oil-Free Air Compressor</t>
  </si>
  <si>
    <t>TH_PM002</t>
  </si>
  <si>
    <t>Sony Corporate Services (Japan) Corporation</t>
  </si>
  <si>
    <t>Air compressor</t>
  </si>
  <si>
    <r>
      <t>1. Reference CO2 emission factor for the project solar PV system (tCO2/MWh).
If the project is connected to the national grid, national Grid Emission Factor of Thailand is applied.
If the project is connected to captive generation, emission factor can be chosen from default value of 0.8 tCO2/MWh, CDM, calculated from power generation efficiency obtained from manufacturer's specification, or calculated from monitored data.
2. Specific performance (SP) of reference air compressor for each motor power (kW-min/m3, default values from survey)
3. Specific performance (SP) of project air compressor</t>
    </r>
    <r>
      <rPr>
        <i/>
        <sz val="12"/>
        <rFont val="Arial"/>
        <family val="2"/>
      </rPr>
      <t xml:space="preserve"> </t>
    </r>
    <r>
      <rPr>
        <sz val="12"/>
        <rFont val="Arial"/>
        <family val="2"/>
      </rPr>
      <t>under the project specific conditions provided by manufacturer (kW-min/m3, specification)
4. The specific performance (SP) of the project air compressor calculated</t>
    </r>
    <r>
      <rPr>
        <i/>
        <sz val="12"/>
        <rFont val="Arial"/>
        <family val="2"/>
      </rPr>
      <t xml:space="preserve"> </t>
    </r>
    <r>
      <rPr>
        <sz val="12"/>
        <rFont val="Arial"/>
        <family val="2"/>
      </rPr>
      <t>under the specific conditions (kW-min/m3, calculated using formula)
5. Discharge pressure of project air compressor under the project specific conditions
6. Suction temperature of project air compressor</t>
    </r>
    <r>
      <rPr>
        <i/>
        <sz val="12"/>
        <rFont val="Arial"/>
        <family val="2"/>
      </rPr>
      <t xml:space="preserve"> </t>
    </r>
    <r>
      <rPr>
        <sz val="12"/>
        <rFont val="Arial"/>
        <family val="2"/>
      </rPr>
      <t>under the specific conditions
7. Number of compression stages of project air compressor</t>
    </r>
    <r>
      <rPr>
        <i/>
        <sz val="12"/>
        <rFont val="Arial"/>
        <family val="2"/>
      </rPr>
      <t xml:space="preserve">
</t>
    </r>
    <r>
      <rPr>
        <sz val="12"/>
        <rFont val="Arial"/>
        <family val="2"/>
      </rPr>
      <t>8. Power generation efficiency
9. Net calorific value of consumed fuel (GJ/mass or volume unit, default value from supplier, measurement, national default value, or IPCC)
10. CO</t>
    </r>
    <r>
      <rPr>
        <vertAlign val="subscript"/>
        <sz val="12"/>
        <rFont val="Arial"/>
        <family val="2"/>
      </rPr>
      <t>2</t>
    </r>
    <r>
      <rPr>
        <sz val="12"/>
        <rFont val="Arial"/>
        <family val="2"/>
      </rPr>
      <t xml:space="preserve"> emission factor of the consumed fuel (tCO</t>
    </r>
    <r>
      <rPr>
        <vertAlign val="subscript"/>
        <sz val="12"/>
        <rFont val="Arial"/>
        <family val="2"/>
      </rPr>
      <t>2</t>
    </r>
    <r>
      <rPr>
        <sz val="12"/>
        <rFont val="Arial"/>
        <family val="2"/>
      </rPr>
      <t>/GJ, national default value, or IPCC)</t>
    </r>
  </si>
  <si>
    <t>1. Power consumption of project air compressor (MWh)
2. Amount of fuel input for power generation (mass or weight)
3. Amount of electricity generated (MWh)</t>
  </si>
  <si>
    <t>TH004</t>
  </si>
  <si>
    <t>TH_PM006</t>
  </si>
  <si>
    <t>Energy Saving by Introduction of Multi-stage Oil-Free Air Compressor, Version 2.0</t>
  </si>
  <si>
    <t>PM: Data and parameters fixed ex ante:
1) Emission factor for captive electricity</t>
  </si>
  <si>
    <r>
      <rPr>
        <sz val="12"/>
        <color rgb="FFFF0000"/>
        <rFont val="Arial"/>
        <family val="2"/>
      </rPr>
      <t>3 options</t>
    </r>
    <r>
      <rPr>
        <sz val="12"/>
        <color theme="1"/>
        <rFont val="Arial"/>
        <family val="2"/>
      </rPr>
      <t>:
(a): 0.8 tCO2/MWH; the most recent value available from CDM approved methodology AMS-I.A
(b): calculated from its power generation efficiency obtained from manufacturer’s specification
(c): calculated from measured data of amount of fuel input for power generation and the amount of electricity generated</t>
    </r>
  </si>
  <si>
    <r>
      <rPr>
        <sz val="12"/>
        <color rgb="FFFF0000"/>
        <rFont val="Arial"/>
        <family val="2"/>
      </rPr>
      <t>2 options (previous option a is deleted)</t>
    </r>
    <r>
      <rPr>
        <sz val="12"/>
        <color theme="1"/>
        <rFont val="Arial"/>
        <family val="2"/>
      </rPr>
      <t>:
(a): calculated from its power generation efficiency obtained from manufacturer’s specification
(b): calculated from measured data of amount of fuel input for power generation and the amount of electricity generated
* Additional note: In case the captive electricity generation system meets all of the listed conditions, the value in a provided table may be
applied.</t>
    </r>
  </si>
  <si>
    <t>05/08/2017 - 19/08/2017</t>
  </si>
  <si>
    <t>TH_AM003</t>
  </si>
  <si>
    <t>Energy Saving by Introduction of High Efficiency Inverter Type Centrifugal Chiller</t>
  </si>
  <si>
    <t>TH_PM003</t>
  </si>
  <si>
    <t>- Survey
- National standard (Japan)</t>
  </si>
  <si>
    <t>1.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3. Output cooling water temperature of project chiller set under the project specific condition (Celsius, chiller specification)
4. Output chilled water temperature of project chiller set under the project specific condition (Celsius, chiller specification)
5. COP of reference chiller under the standardizing temperature conditions (default values of 5.59, 5.69, 5.85, or 6.06, according to chiller capacity)
6. COP of project chiller under the project specific conditions (chiller specification)
7. Rated capacity of captive power generator (kW, specification)</t>
  </si>
  <si>
    <t>1. Power consumption of project chiller
2. Amount of fuel consumed and/or the amount of
electricity generated by captive power, where applicable.</t>
  </si>
  <si>
    <t>TH003, TH004</t>
  </si>
  <si>
    <t>TH_AM004</t>
  </si>
  <si>
    <t>TH_PM004</t>
  </si>
  <si>
    <t>Experimental data</t>
  </si>
  <si>
    <t xml:space="preserve">1. Specific electricity consumption of the air compressors at the project factory, (kWh/Nm3, manufacturer)
2. Specific air consumption of the project air jet loom at the project factory (Nm3/m, manufacturer)
3. Reduction rate of specific air consumption of the project air jet loom at the project factory (%, measurement)
4.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t>
  </si>
  <si>
    <t>Amount of fabric woven in the project</t>
  </si>
  <si>
    <t>TH002</t>
  </si>
  <si>
    <t>TH_AM005</t>
  </si>
  <si>
    <t>Energy Saving by Introduction of High Efficiency Non-Inverter Type Centrifugal Chiller</t>
  </si>
  <si>
    <t>TH_PM005</t>
  </si>
  <si>
    <t>Nippon Koei Co., Ltd</t>
  </si>
  <si>
    <t>1.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2. COP of reference chiller under the standardizing temperature conditions (default values of 5.67, 5.81, or 6.05, according to chiller capacity)
3. COP of project chiller under the project specific conditions (chiller specification)
4. Output cooling water temperature of project chiller set under the project specific condition (Celsius, chiller specification)
5. Output chilled water temperature of project chiller set under the project specific condition (Celsius, chiller specification)</t>
  </si>
  <si>
    <t>1. Power consumption of project chiller
2. Amount of fuel consumed and/or the amount of
electricity generated by captive power, where applicable</t>
  </si>
  <si>
    <r>
      <t xml:space="preserve">New option (c)
</t>
    </r>
    <r>
      <rPr>
        <sz val="12"/>
        <color rgb="FFFF0000"/>
        <rFont val="Arial"/>
        <family val="2"/>
      </rPr>
      <t>electricity directly supplied from small power producer (SPP) to the project site through its internal grid (e.g. industrial park)</t>
    </r>
    <phoneticPr fontId="8"/>
  </si>
  <si>
    <t>TH_AM006</t>
  </si>
  <si>
    <t>Installation of Displacement Ventilation Air Conditioning Unit in the Cleanroom of Semiconductor Manufacturing Factory</t>
  </si>
  <si>
    <t>3. Energy demand; 
4. Manufacturing industries</t>
    <phoneticPr fontId="8"/>
  </si>
  <si>
    <t>TH_PM007</t>
  </si>
  <si>
    <t>Sony Semiconductor Manufacturing Corporation</t>
  </si>
  <si>
    <t>Displacement ventilation system</t>
  </si>
  <si>
    <t>- Survey
- National standard (US)
- International standard (ISO)</t>
  </si>
  <si>
    <t xml:space="preserve">1. Airflow rate of reference mixing ventilation air conditioning unit(s) supplying air to
cleanroom in the project factory (m3/s)
2. Airflow rate of project displacement ventilation air conditioning unit(s) supplying
air to cleanroom in the project factory (m3/s)
3. Discharge pressure of reference mixing ventilation air conditioning unit(s) supplying air to cleanroom in the project factory (default value 1,200 Pa)
4. Discharge pressure of project displacement ventilation air conditioning unit(s) supplying air to cleanroom in the project factory (Pa)
5. Volume of the cleanroom in the project factory (m3)
6. Number of times of ventilation required for the cleanroom in the project factory (default value of 80 or 40, based on ISO and FED standard)
7.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t>
  </si>
  <si>
    <t>1. Amount of power consumption by project displacement
ventilation air conditioning unit
2. Amount of fuel consumption and the amount of
electricity generated by captive power, where applicable</t>
  </si>
  <si>
    <t>TH003</t>
  </si>
  <si>
    <t>TH_AM007</t>
  </si>
  <si>
    <r>
      <t>CO</t>
    </r>
    <r>
      <rPr>
        <vertAlign val="subscript"/>
        <sz val="12"/>
        <rFont val="Arial"/>
        <family val="2"/>
      </rPr>
      <t>3</t>
    </r>
    <r>
      <rPr>
        <sz val="11"/>
        <color theme="1"/>
        <rFont val="游ゴシック"/>
        <family val="2"/>
        <charset val="128"/>
      </rPr>
      <t/>
    </r>
  </si>
  <si>
    <t>1. CO2 emission factor for consumed electricity from grid generation (national Grid Emission Factor of Thailand)
2. Total maximum rated capacity of equipments of the WHR system which consumes electricity except for the capacity of equipments which use the electricity generated by itself directly (MW, equipment specification)</t>
  </si>
  <si>
    <t>1. Quantity of the electricity supplied from the WHR system to the cement production facility
2. Number of days during a monitoring period</t>
  </si>
  <si>
    <t>TH_AM008</t>
    <phoneticPr fontId="8"/>
  </si>
  <si>
    <t>Introducing heat recovery heat pumps with natural refrigerants for the food manufacturing industries</t>
  </si>
  <si>
    <t>TH_PM010</t>
  </si>
  <si>
    <t>Mitsubishi UFJ Morgan Stanley Securities Co., Ltd.</t>
  </si>
  <si>
    <t>Electronic decision</t>
    <phoneticPr fontId="8"/>
  </si>
  <si>
    <t>Heat recovery electric heat pump</t>
    <phoneticPr fontId="8"/>
  </si>
  <si>
    <r>
      <t>1. Rated electricity consumption of the project HP (kW)
2. Rated heating capacity of the project HP (kW)
3. Efficiency of the reference boiler for heating energy generation (default value is 89.0%)
4. CO</t>
    </r>
    <r>
      <rPr>
        <vertAlign val="subscript"/>
        <sz val="12"/>
        <rFont val="Arial"/>
        <family val="2"/>
      </rPr>
      <t>2</t>
    </r>
    <r>
      <rPr>
        <sz val="12"/>
        <rFont val="Arial"/>
        <family val="2"/>
      </rPr>
      <t xml:space="preserve"> emission factor for the fuel consumed by the reference boiler for heating energy generation (tCO2/GJ)
5. Rated cooling capacity of the project HP (kW)
6. Efficiency of reference compressor for cooling energy generation (the default value: 4.01 when 50kW</t>
    </r>
    <r>
      <rPr>
        <sz val="12"/>
        <rFont val="ＭＳ Ｐゴシック"/>
        <family val="3"/>
        <charset val="128"/>
      </rPr>
      <t>≤</t>
    </r>
    <r>
      <rPr>
        <sz val="12"/>
        <rFont val="Arial"/>
        <family val="2"/>
      </rPr>
      <t>x&lt;400k, 4.09 when 400kW</t>
    </r>
    <r>
      <rPr>
        <sz val="12"/>
        <rFont val="ＭＳ Ｐゴシック"/>
        <family val="3"/>
        <charset val="128"/>
      </rPr>
      <t>≤</t>
    </r>
    <r>
      <rPr>
        <sz val="12"/>
        <rFont val="Arial"/>
        <family val="2"/>
      </rPr>
      <t>x&lt;800kW, 4.21 when 800kW</t>
    </r>
    <r>
      <rPr>
        <sz val="12"/>
        <rFont val="ＭＳ Ｐゴシック"/>
        <family val="3"/>
        <charset val="128"/>
      </rPr>
      <t>≤</t>
    </r>
    <r>
      <rPr>
        <sz val="12"/>
        <rFont val="Arial"/>
        <family val="2"/>
      </rPr>
      <t>x&lt;1600kW) 
7. CO</t>
    </r>
    <r>
      <rPr>
        <vertAlign val="subscript"/>
        <sz val="12"/>
        <rFont val="Arial"/>
        <family val="2"/>
      </rPr>
      <t xml:space="preserve">2 </t>
    </r>
    <r>
      <rPr>
        <sz val="12"/>
        <rFont val="Arial"/>
        <family val="2"/>
      </rPr>
      <t>emission factor for consumed electricity which is calculated from either options: its power generation efficiency or measured data</t>
    </r>
    <phoneticPr fontId="8"/>
  </si>
  <si>
    <t>1. Electricity consumption of the project HPs
2. Electricity consumption of the auxiliary electric equipment of the HPs.</t>
    <phoneticPr fontId="8"/>
  </si>
  <si>
    <t>TH_AM009</t>
    <phoneticPr fontId="8"/>
  </si>
  <si>
    <t>Installation of gas engine cogeneration system to supply electricity and heat</t>
  </si>
  <si>
    <t>Non-biomass</t>
    <phoneticPr fontId="8"/>
  </si>
  <si>
    <t>TH_PM011</t>
  </si>
  <si>
    <t>Co-generation system</t>
    <phoneticPr fontId="8"/>
  </si>
  <si>
    <t>1. Reference boiler efficency (the default value is 89%)
2. Net calorific value of gas fuel consumed by the CGS (GJ/mass or volume)
3. CO2 emission factor for consumed electricity in the recipient facility i (tCO2/MWh).
4. CO2 emission factor for fossil fuel consumed by the reference boiler (tCO2/GJ). 
5.CO2 emission factor for gas fuel consumed by the CGS (tCO2/GJ).</t>
    <phoneticPr fontId="8"/>
  </si>
  <si>
    <t>1. Amount of electricity consumed by the recipient facility(ies) which is generated by the CGS
2. Amount of heat consumed by the recipient facility(ies) which is generated by the CGS
3. Amount of gas fuel consumed by the CGS.</t>
    <phoneticPr fontId="8"/>
  </si>
  <si>
    <t>VN_AM001</t>
  </si>
  <si>
    <t>Transportation energy efficiency activities by installing digital tachograph systems</t>
  </si>
  <si>
    <t>Viet Nam</t>
  </si>
  <si>
    <t>7. Transport</t>
  </si>
  <si>
    <t>Transportation</t>
  </si>
  <si>
    <t>Others</t>
  </si>
  <si>
    <t>VN_PM001</t>
  </si>
  <si>
    <t>Nippon Express Co., Ltd.;
Nittsu Research Institute and Consulting, Inc.;
Mitsubishi UFJ Morgan Stanley Securities Co., Ltd.</t>
  </si>
  <si>
    <t xml:space="preserve">Digital tachograph system </t>
  </si>
  <si>
    <t>1. Project fuel consumption by each freight vehicle (kL)
2. Project distance travelled by each freight vehicle (km)</t>
  </si>
  <si>
    <t>VN001</t>
  </si>
  <si>
    <t>VN_PM007</t>
  </si>
  <si>
    <t xml:space="preserve">1. Terms and definitions
2. Eligibility criteria
3. Calculation of reference emission </t>
  </si>
  <si>
    <r>
      <rPr>
        <sz val="12"/>
        <color rgb="FFFF0000"/>
        <rFont val="Arial"/>
        <family val="2"/>
      </rPr>
      <t>Option (a) and (b) for calculating reference emission in the case of new addition and replacement of freight vehicles:</t>
    </r>
    <r>
      <rPr>
        <sz val="12"/>
        <color theme="1"/>
        <rFont val="Arial"/>
        <family val="2"/>
      </rPr>
      <t xml:space="preserve">
(a) averaging the reference fuel efficiencies of vehicles in the fleet which are the same models and travel the same route as the newly added vehicle
(b) If data required by (a) cannot be obtained, data from newly added freight vehicles before activation of digital tachograph system can be used</t>
    </r>
  </si>
  <si>
    <r>
      <rPr>
        <sz val="12"/>
        <color rgb="FFFF0000"/>
        <rFont val="Arial"/>
        <family val="2"/>
      </rPr>
      <t>New option (c)</t>
    </r>
    <r>
      <rPr>
        <sz val="12"/>
        <color theme="1"/>
        <rFont val="Arial"/>
        <family val="2"/>
      </rPr>
      <t>:
If neither option (a) nor (b) can be applied, the reference fuel efficiency is estimated by using the fuel efficiency of top 20% of the similar type of vehicles in the fleet before activation of digital tachograph system</t>
    </r>
  </si>
  <si>
    <t>29/07/2016 - 12/08/2016</t>
  </si>
  <si>
    <t>VN_AM002</t>
  </si>
  <si>
    <t>Introduction of room air conditioners equipped with inverters to public sector buildings</t>
  </si>
  <si>
    <t>VN_PM003</t>
  </si>
  <si>
    <t>Mitsubishi Electric Corporation;
Mitsubishi Corporation
Mitsubishi UFJ;
Morgan Stanley Securities Co.,
Ltd.</t>
  </si>
  <si>
    <t>- National standard (Vietnam)
- International standard</t>
  </si>
  <si>
    <r>
      <t>1. CO</t>
    </r>
    <r>
      <rPr>
        <vertAlign val="subscript"/>
        <sz val="12"/>
        <rFont val="Arial"/>
        <family val="2"/>
      </rPr>
      <t>2</t>
    </r>
    <r>
      <rPr>
        <sz val="12"/>
        <rFont val="Arial"/>
        <family val="2"/>
      </rPr>
      <t xml:space="preserve"> emission factor of the electricity consumed by project RACs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 xml:space="preserve">/MWh CDM default value if captive generation is available)
2. Number of RACs groups whose aggregate electricity consumption are measured by one electricity meter </t>
    </r>
  </si>
  <si>
    <t>1. Electricity consumption of each project room air conditioners group (MWh)
2. Highest energy efficiency (cooling seasonal performance factor/CSPF) of reference room air conditioners
3. Lowest energy efficiency (cooling seasonal performance factor/CSPF) of project room air conditioners</t>
  </si>
  <si>
    <t>VN002</t>
  </si>
  <si>
    <t>VN_PM012</t>
  </si>
  <si>
    <t>Introduction of room air conditioners equipped with inverters, Version 01.1</t>
  </si>
  <si>
    <t>Joint Committee</t>
  </si>
  <si>
    <t>NA</t>
  </si>
  <si>
    <t>I. Data and parameters fixed ex ante
EFelec: CO2 emission factor for consumed electricity</t>
  </si>
  <si>
    <r>
      <t xml:space="preserve">CO2 emission factor for consumed electricity from captive power generator uses a </t>
    </r>
    <r>
      <rPr>
        <sz val="12"/>
        <color rgb="FFFF0000"/>
        <rFont val="Arial"/>
        <family val="2"/>
      </rPr>
      <t>default value of 0.8 tCO2/MWh</t>
    </r>
    <r>
      <rPr>
        <sz val="12"/>
        <color theme="1"/>
        <rFont val="Arial"/>
        <family val="2"/>
      </rPr>
      <t xml:space="preserve"> (from CDM approved methodology)</t>
    </r>
  </si>
  <si>
    <r>
      <t xml:space="preserve">CO2 emission factor for consumed electricity from captive power generator is </t>
    </r>
    <r>
      <rPr>
        <sz val="12"/>
        <color rgb="FFFF0000"/>
        <rFont val="Arial"/>
        <family val="2"/>
      </rPr>
      <t>calculated,</t>
    </r>
    <r>
      <rPr>
        <sz val="12"/>
        <color theme="1"/>
        <rFont val="Arial"/>
        <family val="2"/>
      </rPr>
      <t xml:space="preserve"> using 
generation efficiency (from specifications) or measured data (amount of fuel and electricity generated). Default value may be applied for non-renewable system with capacity of </t>
    </r>
    <r>
      <rPr>
        <u/>
        <sz val="12"/>
        <color theme="1"/>
        <rFont val="Arial"/>
        <family val="2"/>
      </rPr>
      <t>&lt;</t>
    </r>
    <r>
      <rPr>
        <sz val="12"/>
        <color theme="1"/>
        <rFont val="Arial"/>
        <family val="2"/>
      </rPr>
      <t xml:space="preserve"> 15 MW.
When both grid and captive electricity may be consumed, the higher CO2 emission factor is applied.</t>
    </r>
  </si>
  <si>
    <t>VN_AM003</t>
  </si>
  <si>
    <t>Improving the energy efficiency of commercial buildings by utilization of high efficiency equipment</t>
  </si>
  <si>
    <t>Ver1.1</t>
    <phoneticPr fontId="8"/>
  </si>
  <si>
    <t>VN_PM004</t>
  </si>
  <si>
    <t>Hibiya Engineering, Ltd.;
Mitsubishi UFJ Morgan Stanley Securities Co.,
Ltd.</t>
  </si>
  <si>
    <t>- Own record
- Survey
- International standard (CDM)</t>
  </si>
  <si>
    <r>
      <t>1. Energy efficiency of the equipment introduced in the project (provided by supplier)
2. Energy efficiency of the reference equipment replaced by the project equipment (default values)
3. Rated electricity consumption of the project equipment (kW, provided by supplier)
4. Rated heating capacity of the project equipment (kW, provided by supplier)
5. Unit fuel consumption rate of the reference equipment replaced by the project equipment (L/kWh, provided by supplier)
6. Rated cooling capacity of the project equipment (kW, provided by supplier) 
7. Efficiency of the reference equipment replaced by the project equipment (default values)
8. Rated electricity consumption of the reference equipment replaced by the project equipment categorized as measure 3 (kW, provided by supplier)
9. Capacity of auxiliary electric equipment that is installed due to the implementation of the project equipment (kW, provided by supplier)
10. Rated electricity consumption of the project lighting categorized as measure 3 (kW, provided by supplier)
11. CO</t>
    </r>
    <r>
      <rPr>
        <vertAlign val="subscript"/>
        <sz val="12"/>
        <rFont val="Arial"/>
        <family val="2"/>
      </rPr>
      <t>2</t>
    </r>
    <r>
      <rPr>
        <sz val="12"/>
        <rFont val="Arial"/>
        <family val="2"/>
      </rPr>
      <t xml:space="preserve"> emission factor of the electricity consumed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
12. CO</t>
    </r>
    <r>
      <rPr>
        <vertAlign val="subscript"/>
        <sz val="12"/>
        <rFont val="Arial"/>
        <family val="2"/>
      </rPr>
      <t>2</t>
    </r>
    <r>
      <rPr>
        <sz val="12"/>
        <rFont val="Arial"/>
        <family val="2"/>
      </rPr>
      <t xml:space="preserve"> emission factor of fossil fuel (tCO</t>
    </r>
    <r>
      <rPr>
        <vertAlign val="subscript"/>
        <sz val="12"/>
        <rFont val="Arial"/>
        <family val="2"/>
      </rPr>
      <t>2</t>
    </r>
    <r>
      <rPr>
        <sz val="12"/>
        <rFont val="Arial"/>
        <family val="2"/>
      </rPr>
      <t>/L, IPCC)</t>
    </r>
  </si>
  <si>
    <t>1. Fossil fuel consumed by the high efficiency equipment i introduced in the project categorized as measure 1 (L)
2. Electricity consumed by the high efficiency equipment i introduced in the project categorized as measure 2 (kWh)
3. Operating hours of auxiliary electric equipment 
4. Operating hours of the high efficiency equipment i introduced in the project categorized as measure 3</t>
  </si>
  <si>
    <t>VN003</t>
  </si>
  <si>
    <t>VN_PM013</t>
  </si>
  <si>
    <t>Improving the energy efficiency of commercial buildings by utilization of  high efficiency equipment Version 01.1</t>
  </si>
  <si>
    <t>VN_AM004</t>
  </si>
  <si>
    <t>Anaerobic digestion of organic waste for biogas utilization within wholesale markets</t>
    <phoneticPr fontId="8"/>
  </si>
  <si>
    <t>13. Waste Handling and Disposal</t>
  </si>
  <si>
    <t>Waste management &amp; biomass utilisation</t>
    <phoneticPr fontId="8"/>
  </si>
  <si>
    <t>VN_PM005</t>
  </si>
  <si>
    <t>Hitachi Zosen Corporation;
K.K. Satisfactory International</t>
  </si>
  <si>
    <t>Continuous anaerobic digester</t>
  </si>
  <si>
    <r>
      <t>CO</t>
    </r>
    <r>
      <rPr>
        <vertAlign val="subscript"/>
        <sz val="12"/>
        <rFont val="Arial"/>
        <family val="2"/>
      </rPr>
      <t>2</t>
    </r>
    <r>
      <rPr>
        <sz val="12"/>
        <rFont val="Arial"/>
        <family val="2"/>
      </rPr>
      <t xml:space="preserve">
CH</t>
    </r>
    <r>
      <rPr>
        <vertAlign val="subscript"/>
        <sz val="12"/>
        <rFont val="Arial"/>
        <family val="2"/>
      </rPr>
      <t>4</t>
    </r>
  </si>
  <si>
    <t>- Voluntary standards and targets
- Historical situation or performance</t>
  </si>
  <si>
    <t>International standard (IPCC)</t>
  </si>
  <si>
    <r>
      <t>1. Methane correction factor (IPCC)
2. Oxidation factor (IPCC)
3. CO</t>
    </r>
    <r>
      <rPr>
        <vertAlign val="subscript"/>
        <sz val="12"/>
        <rFont val="Arial"/>
        <family val="2"/>
      </rPr>
      <t>2</t>
    </r>
    <r>
      <rPr>
        <sz val="12"/>
        <rFont val="Arial"/>
        <family val="2"/>
      </rPr>
      <t xml:space="preserve"> emissons factor of fossil fuel (tCO</t>
    </r>
    <r>
      <rPr>
        <vertAlign val="subscript"/>
        <sz val="12"/>
        <rFont val="Arial"/>
        <family val="2"/>
      </rPr>
      <t>2</t>
    </r>
    <r>
      <rPr>
        <sz val="12"/>
        <rFont val="Arial"/>
        <family val="2"/>
      </rPr>
      <t>/GJ)
4. CO</t>
    </r>
    <r>
      <rPr>
        <vertAlign val="subscript"/>
        <sz val="12"/>
        <rFont val="Arial"/>
        <family val="2"/>
      </rPr>
      <t>2</t>
    </r>
    <r>
      <rPr>
        <sz val="12"/>
        <rFont val="Arial"/>
        <family val="2"/>
      </rPr>
      <t xml:space="preserve"> emissions factor of the electricity consumed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t>
    </r>
  </si>
  <si>
    <t>1. Amount of organic waste prevented from disposal in the SWDS in month x (t)
2. Amount of processed biogas supplied to heat generation equipments (t)
3. Amount of electricity consumption by the waste management facility (kWh)</t>
  </si>
  <si>
    <t>VN_PM014</t>
  </si>
  <si>
    <t>Anaerobic digestion of organic waste for biogas utilization within wholesale markets Version 01.1</t>
  </si>
  <si>
    <t>E. Emission Sources and GHG types
I. Data and parameters fixed ex ante
EFelec: CO2 emission factor for consumed electricity</t>
  </si>
  <si>
    <r>
      <t xml:space="preserve">1. Project emission sources: </t>
    </r>
    <r>
      <rPr>
        <sz val="12"/>
        <color rgb="FFFF0000"/>
        <rFont val="Arial"/>
        <family val="2"/>
      </rPr>
      <t>Grid electricity consumption</t>
    </r>
    <r>
      <rPr>
        <sz val="12"/>
        <color theme="1"/>
        <rFont val="Arial"/>
        <family val="2"/>
      </rPr>
      <t xml:space="preserve"> by the waste management facility
2. CO2 emission factor for consumed electricity from captive power generator uses a </t>
    </r>
    <r>
      <rPr>
        <sz val="12"/>
        <color rgb="FFFF0000"/>
        <rFont val="Arial"/>
        <family val="2"/>
      </rPr>
      <t>default value of 0.8 tCO2/MWh</t>
    </r>
    <r>
      <rPr>
        <sz val="12"/>
        <color theme="1"/>
        <rFont val="Arial"/>
        <family val="2"/>
      </rPr>
      <t xml:space="preserve"> (from CDM approved methodology)</t>
    </r>
  </si>
  <si>
    <r>
      <t>1. Project emission sources:</t>
    </r>
    <r>
      <rPr>
        <sz val="12"/>
        <color rgb="FFFF0000"/>
        <rFont val="Arial"/>
        <family val="2"/>
      </rPr>
      <t xml:space="preserve"> Electricity consumption </t>
    </r>
    <r>
      <rPr>
        <sz val="12"/>
        <color theme="1"/>
        <rFont val="Arial"/>
        <family val="2"/>
      </rPr>
      <t xml:space="preserve">by the waste management facility
2. CO2 emission factor for consumed electricity from captive power generator is </t>
    </r>
    <r>
      <rPr>
        <sz val="12"/>
        <color rgb="FFFF0000"/>
        <rFont val="Arial"/>
        <family val="2"/>
      </rPr>
      <t>calculated,</t>
    </r>
    <r>
      <rPr>
        <sz val="12"/>
        <color theme="1"/>
        <rFont val="Arial"/>
        <family val="2"/>
      </rPr>
      <t xml:space="preserve"> using 
generation efficiency (from specifications) or measured data (amount of fuel and electricity generated). Default value may be applied for non-renewable system with capacity of &lt; 15 MW.
When both grid and captive electricity may be consumed, the higher CO2 emission factor is applied.</t>
    </r>
  </si>
  <si>
    <t>VN_AM005</t>
  </si>
  <si>
    <t>VN_PM006</t>
  </si>
  <si>
    <t>YUKO-KEISO Co., Ltd.;
Mitsubishi UFJ Morgan Stanley Securities Co., Ltd.</t>
  </si>
  <si>
    <r>
      <t>1. No-load losses of the reference transformer of capacity category for the power company (W, standard or specification set by the power companies)
2. No-load losses of the project transformer of capacity category for the power company (W, manufacturer’s performance test report)
3. Blackout rate (%, power companies)
4. Maximum allowable uncertainty for the no-load losses of the project transformer (%, manufacturer’s performance test report)
5. CO</t>
    </r>
    <r>
      <rPr>
        <vertAlign val="subscript"/>
        <sz val="12"/>
        <rFont val="Arial"/>
        <family val="2"/>
      </rPr>
      <t>2</t>
    </r>
    <r>
      <rPr>
        <sz val="12"/>
        <rFont val="Arial"/>
        <family val="2"/>
      </rPr>
      <t xml:space="preserve"> emission factor of the grid  (tCO</t>
    </r>
    <r>
      <rPr>
        <vertAlign val="subscript"/>
        <sz val="12"/>
        <rFont val="Arial"/>
        <family val="2"/>
      </rPr>
      <t>2</t>
    </r>
    <r>
      <rPr>
        <sz val="12"/>
        <rFont val="Arial"/>
        <family val="2"/>
      </rPr>
      <t>/MWh, national Grid Emission Factor of Vietnam)</t>
    </r>
  </si>
  <si>
    <t>Energizing time of the project transformer (h)</t>
  </si>
  <si>
    <t xml:space="preserve">VN004, VN008 </t>
  </si>
  <si>
    <t>VN_AM006</t>
  </si>
  <si>
    <t>Introduction of air conditioning system equipped with inverters</t>
  </si>
  <si>
    <t>- Commercial &amp; household
- Public facility
- Factory</t>
  </si>
  <si>
    <t>VN_PM008</t>
  </si>
  <si>
    <r>
      <t>1. CO</t>
    </r>
    <r>
      <rPr>
        <vertAlign val="subscript"/>
        <sz val="12"/>
        <rFont val="Arial"/>
        <family val="2"/>
      </rPr>
      <t>2</t>
    </r>
    <r>
      <rPr>
        <sz val="12"/>
        <rFont val="Arial"/>
        <family val="2"/>
      </rPr>
      <t xml:space="preserve"> emission factor for consumed electricity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
2. COP of outdoor unit of project air conditioning system (specifications or factory acceptance test data by manufacturer)
3. COP of reference air conditioning system (product catalogs, specification documents, websites, survey)</t>
    </r>
  </si>
  <si>
    <t>1. Electricity consumption of outdoor unit of project air
conditioning system (MWh)
2. Total electricity consumption of indoor units of project air
conditioning system (MWh)</t>
  </si>
  <si>
    <t xml:space="preserve">VN005, VN009 </t>
  </si>
  <si>
    <t>VN_PM015</t>
  </si>
  <si>
    <t>Introduction of air conditioning system equipped with inverters, Version 01.1</t>
  </si>
  <si>
    <r>
      <t>CO2 emission factor for consumed electricity from captive power generator uses</t>
    </r>
    <r>
      <rPr>
        <sz val="12"/>
        <color rgb="FFFF0000"/>
        <rFont val="Arial"/>
        <family val="2"/>
      </rPr>
      <t xml:space="preserve"> a default value of 0.8 tCO2/MWh</t>
    </r>
    <r>
      <rPr>
        <sz val="12"/>
        <color theme="1"/>
        <rFont val="Arial"/>
        <family val="2"/>
      </rPr>
      <t xml:space="preserve"> (from CDM approved methodology)</t>
    </r>
  </si>
  <si>
    <t>VN_AM007</t>
  </si>
  <si>
    <t>VN_PM009</t>
  </si>
  <si>
    <r>
      <t xml:space="preserve">Reference CO2 emission factor for the project solar PV system. 
The value is selected from the options of default emission factor, based on the connectivity to the national grid, captive diesel power generator, and/or captive gas power generator in the following manner:
- In the case where project solar PV system(s) is only </t>
    </r>
    <r>
      <rPr>
        <i/>
        <sz val="12"/>
        <rFont val="Arial"/>
        <family val="2"/>
      </rPr>
      <t>connected to the national grid</t>
    </r>
    <r>
      <rPr>
        <sz val="12"/>
        <rFont val="Arial"/>
        <family val="2"/>
      </rPr>
      <t>, default value is 0.333 tCO</t>
    </r>
    <r>
      <rPr>
        <vertAlign val="subscript"/>
        <sz val="12"/>
        <rFont val="Arial"/>
        <family val="2"/>
      </rPr>
      <t>2</t>
    </r>
    <r>
      <rPr>
        <sz val="12"/>
        <rFont val="Arial"/>
        <family val="2"/>
      </rPr>
      <t xml:space="preserve">/MWh
'- In the case where project solar PV system(s) is connected to an internal grid which
is connected to </t>
    </r>
    <r>
      <rPr>
        <i/>
        <sz val="12"/>
        <rFont val="Arial"/>
        <family val="2"/>
      </rPr>
      <t xml:space="preserve">both </t>
    </r>
    <r>
      <rPr>
        <sz val="12"/>
        <rFont val="Arial"/>
        <family val="2"/>
      </rPr>
      <t xml:space="preserve">the national grid and a captive power generator, default value is 0.333 tCO2/MWh
- In the case where project solar PV system(s) is </t>
    </r>
    <r>
      <rPr>
        <i/>
        <sz val="12"/>
        <rFont val="Arial"/>
        <family val="2"/>
      </rPr>
      <t>not</t>
    </r>
    <r>
      <rPr>
        <sz val="12"/>
        <rFont val="Arial"/>
        <family val="2"/>
      </rPr>
      <t xml:space="preserve"> connected to the national grid, and connected to a captive power generator</t>
    </r>
    <r>
      <rPr>
        <i/>
        <sz val="12"/>
        <rFont val="Arial"/>
        <family val="2"/>
      </rPr>
      <t>,</t>
    </r>
    <r>
      <rPr>
        <sz val="12"/>
        <rFont val="Arial"/>
        <family val="2"/>
      </rPr>
      <t>default value is 0.533 tCO2/MWh</t>
    </r>
  </si>
  <si>
    <t>Quantity of the electricity generated by the project solar PV
system(s)</t>
  </si>
  <si>
    <t>VN007 </t>
  </si>
  <si>
    <t>VN_AM008</t>
  </si>
  <si>
    <t>Installation of LED lighting equipment to fishing boats</t>
  </si>
  <si>
    <t>VN_PM010</t>
  </si>
  <si>
    <t>Stanley Electric Co., Ltd.</t>
  </si>
  <si>
    <t>1. CO2 emission factor of the electricity consumed by the diesel-powered fishing boat (default value is 0.8 tCO2/MWh, CDM)
2. Rated electricity consumption of reference lamp of fishing boat (default value is 1,000 W)
3. Rated electricity consumption of LED light of fishing boat (from manufacturer’s specifications)
4. Number of reference lamps, which has the equivalence to the design illuminance into an irradiated sea surface by one project's LED light of fishing boat</t>
  </si>
  <si>
    <t>Total electricity consumption of project LED lights.</t>
  </si>
  <si>
    <t xml:space="preserve">VN006 </t>
  </si>
  <si>
    <t>VN_AM009</t>
  </si>
  <si>
    <t>Installation of Container Formation Facility at Lead Acid Battery Factory</t>
  </si>
  <si>
    <t>Hitachi Chemical Co., Ltd.</t>
  </si>
  <si>
    <t>1. Reference CO2 emission factor for the project solar PV system (tCO2/MWh)
- If the project is connected to the national grid, national Grid Emission Factor of Vietnam is applied.
- If the project is connected to captive generation, emission factor can be chosen from default value of 0.8 tCO2/MWh, CDM, calculated from power generation efficiency obtained from manufacturer's specification, or calculated from monitored data. 
2. CO2 emission factor for fuel applicable to the project factory (tCO2/GJ, IPCC)</t>
  </si>
  <si>
    <t>1. Production output of lead acid battery at the container formation facility in the project factory per lead acid battery type
2. Capacity of lead acid battery
3. Electricity consumption by the container formation facility 
including chillier and cooling tower in the project factory</t>
  </si>
  <si>
    <t>VN_PM021</t>
  </si>
  <si>
    <t>PMS: 
- Deleted unnecessary parameters in MPS(input_separate) sheet of the PMS
- Modified descriptions of parameters "RE_i,p" and
"PE_i,p" in MPS(input_separate) sheet of the PMS</t>
  </si>
  <si>
    <t>1. RE_i,p: Reference emissions to produce lead acid battery during the project period</t>
  </si>
  <si>
    <t xml:space="preserve"> 15/08/2018</t>
  </si>
  <si>
    <t>VN_AM010</t>
  </si>
  <si>
    <t>Introduction of tunnel and/or shuttle kiln with waste heat recovery system</t>
  </si>
  <si>
    <t>VN_PM016</t>
  </si>
  <si>
    <t xml:space="preserve">Waste heat recovery system </t>
  </si>
  <si>
    <t>- National standard (Japan)
- Country data</t>
  </si>
  <si>
    <t>1. CO2 emission factor of natural gas (0.0543 tCO2/GJ, IPCC)
2. Specific heat of supplied combustion air (1.006 MJ/t·K)
3. Density of supplied combustion air (1.293 kg/Nm3, Japan Standard)
4. Temperature of ambient of project tunnel and/or shuttle kiln (35.8 °C, survey)</t>
  </si>
  <si>
    <t xml:space="preserve">1. Quantity of supplied air for combustion which was pre-heated by waste heat recovery system
2. Annual average temperature of supplied combustion air
entering the firing unit of project tunnel and/or shuttle kiln </t>
  </si>
  <si>
    <t>VN_AM011</t>
  </si>
  <si>
    <t>VN_PM017</t>
  </si>
  <si>
    <t>HOYA Corporation</t>
  </si>
  <si>
    <t>1. CO2 emission factor for consumed electricity 
For grid electricity: The most recent value available from the official Vietnam source
For captive electricity: it is determined based on the calculation options.
2. COP of reference chiller under the standardizing temperature conditions (default values in line with cooling capacity of the project chiller)
3. COP of project chiller under the project specific conditions (specifications)
4. Output cooling water temperature of project chiller set under the project specific conditions (specifications or factory acceptance data)
5. Output chilled water temperature of project chiller set under the project specific conditions (specifications or factory acceptance data)</t>
  </si>
  <si>
    <t>1. Power consumption of project chiller
2. Fuel consumption and amount of electricity generated by captive power, where applicable</t>
  </si>
  <si>
    <t>VN_AM012</t>
  </si>
  <si>
    <t>Energy Saving by Introduction of Heat Recovery Electric Heat Pump</t>
  </si>
  <si>
    <t>VN_PM018</t>
  </si>
  <si>
    <r>
      <t>CO</t>
    </r>
    <r>
      <rPr>
        <vertAlign val="subscript"/>
        <sz val="12"/>
        <rFont val="Arial"/>
        <family val="2"/>
      </rPr>
      <t>4</t>
    </r>
    <r>
      <rPr>
        <sz val="11"/>
        <color theme="1"/>
        <rFont val="游ゴシック"/>
        <family val="2"/>
        <charset val="128"/>
      </rPr>
      <t/>
    </r>
  </si>
  <si>
    <t>1. CO2 emission factor for consumed electricity 
For grid electricity: The most recent value available from the official Vietnam source
For captive electricity: it is determined based on the calculation options.
2. CO2 emission factor for the reference equipment for heating energy generation, depending on the existence and the type of auxiliary heater (tCO2/GJ, calculation)
3. Rated electricity consumption of project HREHP (kW, specifications or factory acceptance data)
4. Efficiency of the reference equipment for heating energy generation, depending on the existence and the type of auxiliary heater  
5. COP of reference air-cooled chiller
6. Rated heating capacity of project HREHP (kW, specifications or factory acceptance data)
7. Rated cooling capacity of project HREHP (kW, specifications or factory acceptance data)</t>
  </si>
  <si>
    <t xml:space="preserve">1. Power consumption of project Heat Recovery Electric Heat
Pump (HREHP) 
2. Fuel consumption and amount of electricity generated by captive power, where applicable </t>
  </si>
  <si>
    <t>VN_AM013</t>
  </si>
  <si>
    <t>Energy saving by introduction of high-efficiency double suction volute pumps in water supply system</t>
  </si>
  <si>
    <t>VN_PM019</t>
  </si>
  <si>
    <t>Yokohama Water Co., Ltd.</t>
  </si>
  <si>
    <t>Water Pump</t>
  </si>
  <si>
    <r>
      <t>CO</t>
    </r>
    <r>
      <rPr>
        <vertAlign val="subscript"/>
        <sz val="12"/>
        <rFont val="Arial"/>
        <family val="2"/>
      </rPr>
      <t>5</t>
    </r>
    <r>
      <rPr>
        <sz val="11"/>
        <color theme="1"/>
        <rFont val="游ゴシック"/>
        <family val="2"/>
        <charset val="128"/>
      </rPr>
      <t/>
    </r>
  </si>
  <si>
    <t>1. Pump efficiency of project pump at a condition for operational use (%, specifications or factory acceptance test data)
2. Pump efficiency of reference pump (%, default value from the Japanese Industrial Standard JIS B 8322 “Double suction volute pumps”.
3. CO2 emission factor for consumed electricity 
For grid electricity: The most recent value available from the official Vietnam source
For captive electricity: it is determined based on the calculation options</t>
  </si>
  <si>
    <t xml:space="preserve">1. Electricity consumption of project pumps
2. Fuel consumption and the amount of electricity generated by captive power, where applicable </t>
  </si>
  <si>
    <t>VN_AM014</t>
  </si>
  <si>
    <t>Introduction of energy efficient wire stranding machines to automotive wire production factory</t>
  </si>
  <si>
    <t>VN_PM020</t>
  </si>
  <si>
    <t>YAZAKI Parts Co.,Ltd.</t>
  </si>
  <si>
    <t>Wire stranding machines</t>
  </si>
  <si>
    <r>
      <t>CO</t>
    </r>
    <r>
      <rPr>
        <vertAlign val="subscript"/>
        <sz val="12"/>
        <rFont val="Arial"/>
        <family val="2"/>
      </rPr>
      <t>6</t>
    </r>
    <r>
      <rPr>
        <sz val="11"/>
        <color theme="1"/>
        <rFont val="游ゴシック"/>
        <family val="2"/>
        <charset val="128"/>
      </rPr>
      <t/>
    </r>
  </si>
  <si>
    <t>1. CO2 emission factor for consumed electricity 
For grid electricity: The most recent value available from the official Vietnam source
For captive electricity: it is determined based on the calculation options
2. Electricity consumption ratio per production unit (default value, set as 1.51)</t>
  </si>
  <si>
    <t xml:space="preserve">1. Electricity consumption of project wire stranding machines
2. Fuel consumption and the amount of electricity generated by captive power, where applicable </t>
  </si>
  <si>
    <t>VN_AM015</t>
    <phoneticPr fontId="8"/>
  </si>
  <si>
    <t>Installation of compressor control system(s) for split type air conditioner(s)</t>
  </si>
  <si>
    <t>VN_PM022</t>
  </si>
  <si>
    <t>Yuko-KEISO Co., Ltd; Mitsubishi UFJ Morgan Stanley Securities Co., Ltd.</t>
    <phoneticPr fontId="8"/>
  </si>
  <si>
    <t>Air compressor, Air conditioning systems</t>
    <phoneticPr fontId="8"/>
  </si>
  <si>
    <t>Own record</t>
    <phoneticPr fontId="8"/>
  </si>
  <si>
    <t>1. CO2 emission factor of consumed electricity 
2. Project energy saving factor</t>
    <phoneticPr fontId="8"/>
  </si>
  <si>
    <t>Electricity consumption of compressor of outdoor unit in project split type air conditioner(s) with installation of compressor control system(s)</t>
    <phoneticPr fontId="8"/>
  </si>
  <si>
    <t>Methodologies - Summary and Charts</t>
    <phoneticPr fontId="8"/>
  </si>
  <si>
    <t>Table 1: Number of AM by Types of Project and Country</t>
    <phoneticPr fontId="8"/>
  </si>
  <si>
    <t>Energy Efficiency</t>
  </si>
  <si>
    <t>Waste management &amp; biomass utilisation</t>
    <phoneticPr fontId="8"/>
  </si>
  <si>
    <t>Total</t>
    <phoneticPr fontId="8"/>
  </si>
  <si>
    <t>Philippines</t>
  </si>
  <si>
    <t>Chart 1: Number of AM by Type of Project and Country</t>
    <phoneticPr fontId="8"/>
  </si>
  <si>
    <t>Chart 2: Number of AM by Type of Project</t>
    <phoneticPr fontId="8"/>
  </si>
  <si>
    <t>Table 2: Monitoring Parameters</t>
    <phoneticPr fontId="8"/>
  </si>
  <si>
    <t>Table 3: Time from methodology proposed to methodology approved (calendar days)</t>
    <phoneticPr fontId="8"/>
  </si>
  <si>
    <t>Monitoring parameters</t>
  </si>
  <si>
    <t>No. of AM</t>
  </si>
  <si>
    <t>proposed-approved (days)</t>
    <phoneticPr fontId="8"/>
  </si>
  <si>
    <t>1 to 2</t>
  </si>
  <si>
    <r>
      <rPr>
        <sz val="16"/>
        <color theme="1"/>
        <rFont val="ＭＳ Ｐゴシック"/>
        <family val="2"/>
      </rPr>
      <t>≤</t>
    </r>
    <r>
      <rPr>
        <sz val="16"/>
        <color theme="1"/>
        <rFont val="Arial"/>
        <family val="2"/>
      </rPr>
      <t xml:space="preserve"> 30</t>
    </r>
  </si>
  <si>
    <t>3 to 5</t>
  </si>
  <si>
    <t>31 - 180</t>
  </si>
  <si>
    <t>More than 5</t>
  </si>
  <si>
    <t>&gt; 180</t>
  </si>
  <si>
    <t>Average</t>
    <phoneticPr fontId="8"/>
  </si>
  <si>
    <t>Chart 3: Monitoring Parameters in Methodology</t>
    <phoneticPr fontId="8"/>
  </si>
  <si>
    <t>Chart 4: Time from promosed to approved</t>
    <phoneticPr fontId="8"/>
  </si>
  <si>
    <t>IGES JCM Database - Project Data</t>
  </si>
  <si>
    <t>Information on each project is available on: https://www.jcm.go.jp/projects/registers</t>
  </si>
  <si>
    <t>Project Information</t>
  </si>
  <si>
    <t>Support</t>
  </si>
  <si>
    <t>LSC</t>
  </si>
  <si>
    <t>Public Inputs/Comments</t>
  </si>
  <si>
    <t>Validation</t>
  </si>
  <si>
    <t xml:space="preserve">Post-registration changes </t>
  </si>
  <si>
    <t>Emission Reductions (ER, tCO2e)</t>
  </si>
  <si>
    <t>Project reference number</t>
  </si>
  <si>
    <t>Host Country</t>
  </si>
  <si>
    <t>Participant (Host Country)</t>
  </si>
  <si>
    <t>Participant (Japan)</t>
  </si>
  <si>
    <t>Project Type</t>
  </si>
  <si>
    <t>Supp. Info</t>
  </si>
  <si>
    <t>Location</t>
  </si>
  <si>
    <t>Location coordinate</t>
  </si>
  <si>
    <t>Meth. applied</t>
  </si>
  <si>
    <t>Sectoral scope</t>
  </si>
  <si>
    <t>Technology used</t>
  </si>
  <si>
    <t xml:space="preserve">Type of activity </t>
  </si>
  <si>
    <t>Scheme</t>
  </si>
  <si>
    <t>EIA</t>
  </si>
  <si>
    <t>Local stakeholders consultation date</t>
  </si>
  <si>
    <t xml:space="preserve">Participants </t>
  </si>
  <si>
    <t>Inputs/
comment</t>
  </si>
  <si>
    <t>Report completed</t>
  </si>
  <si>
    <t>TPE</t>
  </si>
  <si>
    <t>Request for registration</t>
  </si>
  <si>
    <t>Time from validation completion to request for registration</t>
  </si>
  <si>
    <t>Time from request to registration</t>
  </si>
  <si>
    <t>Request for registration rejection date</t>
  </si>
  <si>
    <t>Date of approval</t>
  </si>
  <si>
    <t>Registration withdrawal</t>
  </si>
  <si>
    <t>Project withdrawal</t>
  </si>
  <si>
    <t xml:space="preserve">Avg. Annual (tCO2e/y) </t>
  </si>
  <si>
    <t>Total</t>
  </si>
  <si>
    <t>Date of JC decision on notification</t>
    <phoneticPr fontId="8"/>
  </si>
  <si>
    <t>Date of issuance to partner country</t>
    <phoneticPr fontId="8"/>
  </si>
  <si>
    <t>To partner country
(tCO2e)</t>
  </si>
  <si>
    <t>Date of issuance to Japan</t>
    <phoneticPr fontId="8"/>
  </si>
  <si>
    <t>To Japan
(tCO2e)</t>
  </si>
  <si>
    <t>Verification report date</t>
  </si>
  <si>
    <t>TPE for verification</t>
  </si>
  <si>
    <t>ID001</t>
  </si>
  <si>
    <t>IC-1</t>
  </si>
  <si>
    <t>Energy Saving for Air-Conditioning and Process Cooling by Introducing High-efficiency Centrifugal Chiller_x000D_</t>
  </si>
  <si>
    <t>PT. Primatexco Indonesia</t>
  </si>
  <si>
    <t>Nippon Koei Co., Ltd., Ebara Refrigeration Equipment &amp; Systems Co., Ltd.</t>
  </si>
  <si>
    <t>Batang, Central Java Province_x000D_</t>
  </si>
  <si>
    <t>S 6°55' 0",  E 109°44'53"</t>
  </si>
  <si>
    <t>ID_AM002 Ver1.0</t>
  </si>
  <si>
    <t>JCM Model Project</t>
  </si>
  <si>
    <t>No</t>
  </si>
  <si>
    <t>07/09/2013 - 
01/09/2014</t>
  </si>
  <si>
    <t>Company management(s); User(s)</t>
  </si>
  <si>
    <t>TPE-ID-002 Lloyd's Register Quality Assurance Limited (LRQA)</t>
  </si>
  <si>
    <t>N/A</t>
  </si>
  <si>
    <t>ID002</t>
  </si>
  <si>
    <t>Project of Introducing High Efficiency Refrigerator to a Food Industry Cold Storage in Indonesia_x000D_</t>
  </si>
  <si>
    <t>PT. Adib Global Food Supplies, PT. Mayekawa Indonesia</t>
  </si>
  <si>
    <t>MAYEKAWA MFG. CO., LTD.</t>
  </si>
  <si>
    <t>Kelurahan Bantargebang, Kecamatan Bantargebang, Bekasi, West Java Province_x000D_</t>
  </si>
  <si>
    <t>S 6°18'33.9",  E 106°59'02.8"</t>
  </si>
  <si>
    <t>ID_AM003 Ver1.0</t>
  </si>
  <si>
    <t>Local government official(s)</t>
  </si>
  <si>
    <t>TPE-ID-003 Japan Quality Assurance Organization (JQA)</t>
  </si>
  <si>
    <t>ID003</t>
  </si>
  <si>
    <t>Project of Introducing High Efficiency Refrigerator to a Frozen Food Processing Plant in Indonesia_x000D_</t>
  </si>
  <si>
    <t>Kecamatan Cilebar, Kabupaten Karawang, West Java</t>
  </si>
  <si>
    <t>S 6°05'19.2",  E 107°25'42.3"</t>
  </si>
  <si>
    <t>ID004</t>
  </si>
  <si>
    <t>Energy Saving for Air-Conditioning at Textile Factory by Introducing High-efficiency Centrifugal Chiller in Karawang West Java</t>
  </si>
  <si>
    <t>PT. Nikawa Textile Industry</t>
  </si>
  <si>
    <t>Nippon Koei Co., Ltd. (Focal Point), Ebara Refrigeration Equipment &amp; Systems Co., Ltd.</t>
  </si>
  <si>
    <t>Karawang Regency, West Java Province</t>
  </si>
  <si>
    <t>S 6°22’3”,  E 107°19’15”</t>
  </si>
  <si>
    <t>ID_AM002 Ver2.0</t>
  </si>
  <si>
    <t>11/03/2015-10/08/2015</t>
  </si>
  <si>
    <t xml:space="preserve">TPE-ID-011 PT. MUTUAGUNG LESTARI </t>
  </si>
  <si>
    <t>ID005</t>
  </si>
  <si>
    <t>Energy Saving for Air-Conditioning at Textile Factory by Introducing High-efficiency
Centrifugal Chiller in Batang, Central Java (Phase 2)</t>
  </si>
  <si>
    <t>09/03/2015-14/08/2015</t>
  </si>
  <si>
    <t>Installation of Inverter-type Air Conditioning System, LED Lighting and Separate Type Fridge Freezer Showcase to Grocery Stores in Republic of Indonesia</t>
  </si>
  <si>
    <t>PT MIDI UTAMA INDONESIA Tbk</t>
  </si>
  <si>
    <t>Lawson, Inc.</t>
  </si>
  <si>
    <t>12 stores in Special Capital Region of Jakarta and its surrounding
districts: Store 1 (Raden Saleh 3): Kec. Kembangan, Jakarta Barat
(2) (Kebagusan 2): Kec. Jagakarsa Jakarta Selatan
3 (Surya Darma): Kec. Neglasari, Tangerang
4 (Meruyung): Meruyung Limo
5 (Tebet Timur Dalam): Kec. Tebet, Jakarta Selatan
6 (Palmerah Utara): Kec. Palmerah, JakBar
7 (Matraman Raya): Palmerah Matraman, Jakarta Timur
8 (Raya Tengah): Kec. Pasar Rebo, Jakarta Timur
9 (Muncang): Kec. Koja Jakarta Utara
10 (Ceger Raya 2): Kec. Pondok Aren TangSel
11 (Sawangan 3): Kel. Pancoran Mas , Depok
12 (Kampung Asem): Kel. Mustika Jaya, Bekasi</t>
  </si>
  <si>
    <t>Store 1: S 6゜11'48.07", E 106゜43'27.98"
Store 2: S 6゜19'05.66", E 106゜49'29.71"
Store 3: S 6゜08'26.34", E 106゜37'57.32"
Store 4: S 6゜22'57.68", E 106゜46'07.36"
Store 5: S 6゜13'59.85", E 106゜51'24.65"
Store 6: S 6゜12'15.05", E 106゜47'36.42"
Store 7: S 6゜12'03.74", E 106゜51'21.17"
Store 8: S 6゜17'56.72", E 106゜51'33.35"
Store 9: S 6゜06'56.67", E 106゜54'25.41"
Store 10: S 6゜15'44.83", E 106゜43'53.82"
Store 11: S 6゜23'47.20", E 106゜48'16.40"
Store 12: S 6゜17'46.14", E 107゜01'15.34"</t>
  </si>
  <si>
    <t>ID_AM004 ver2.0, ID_AM005 ver2.0, ID_AM008 ver2.0</t>
  </si>
  <si>
    <t>Air conditioning control system</t>
  </si>
  <si>
    <t>Store 1: 21/02/2014
Store 2: 10/03/2014
Store 3: 20/03/2015
Store 4: 10/02/2015
Store 5: 15/03/2015
Store 6: 18/03/2015
Store 7: 20/03/2015
Store 8: 21/03/2015
Store 9: 21/03/2015
Store 10: 19/03/2015
Store 11: 24/02/2015
Store 12: 18/03/2015</t>
  </si>
  <si>
    <t>04/08/2015-06/08/2015</t>
  </si>
  <si>
    <t>ID009</t>
  </si>
  <si>
    <t>Energy Saving for Air-Conditioning at Shopping Mall with High Efficiency Centrifugal Chiller</t>
  </si>
  <si>
    <t xml:space="preserve"> PT. Pakuwon Jati Tbk</t>
  </si>
  <si>
    <t>NTT Facilities, Inc.</t>
  </si>
  <si>
    <t>Surabaya, East Java</t>
  </si>
  <si>
    <t>S 7°26'27.4", E 112°73'95.9"</t>
  </si>
  <si>
    <t>ID_AM002 ver2.0</t>
  </si>
  <si>
    <t>Central government officials; Local government official(s); Company management(s)</t>
  </si>
  <si>
    <t>TPE-ID-003
Japan Quality Assurance Organization</t>
  </si>
  <si>
    <t>Reduction of Energy Consumption by Introducing an Energy-Efficient Waste Paper Processing System into a Packaging Paper Factory in Bekasi, West Java</t>
  </si>
  <si>
    <t>PT FAJAR SURYA WISESA Tbk.</t>
  </si>
  <si>
    <t>KANEMATSU CORPORATION</t>
  </si>
  <si>
    <t>S 16°16'20", E 107°07'22"</t>
  </si>
  <si>
    <t>ID_AM012 ver1.0</t>
  </si>
  <si>
    <t>Yes</t>
  </si>
  <si>
    <t>Company employee(s); Central government official(s)</t>
  </si>
  <si>
    <t>GHG emission reductions through utility facility operation optimization system for refineries in the Republic of Indonesia</t>
  </si>
  <si>
    <t>PT. PERTAMIN/A (PERSERO)</t>
  </si>
  <si>
    <t>Jl. Letjen Haryono MT. 77 Lomanis, Cilacap, Central Java</t>
  </si>
  <si>
    <t>S 7°42'12.20", E109゜00'18.97"</t>
  </si>
  <si>
    <t>ID_AM007 Ver1.0</t>
  </si>
  <si>
    <t>Advanced process control (APC) systems</t>
  </si>
  <si>
    <t>JCM Demonstration Project</t>
  </si>
  <si>
    <t>Central government officials; Local government official(s); Related company(ies)</t>
  </si>
  <si>
    <t>Energy saving by optimum operation at an oil refinery</t>
  </si>
  <si>
    <t>Jl. Yos Sudarso No.1 Balikpapan, East Kalimantan</t>
  </si>
  <si>
    <t>S 1°15'45.72", E116゜48'58.25"</t>
  </si>
  <si>
    <t xml:space="preserve"> 
ID_AM006 Ver2.0</t>
  </si>
  <si>
    <t>ID015</t>
  </si>
  <si>
    <t>Reducing GHG emission at textile factories by upgrading to air-saving loom</t>
  </si>
  <si>
    <t>P.T. Indonesia Synthetic Textile Milles (ISTEM), P.T. Easterntex, P.T. Century Textile Industry Tbk (CENTEX)</t>
  </si>
  <si>
    <t>Toray Industries, Inc.</t>
  </si>
  <si>
    <t>[Location 1, ISTEM]: Jl Mochamad Toha KM.1, Pasar Baru, Karawaci Tangerang, Banten, 
[Location 2]: P.T. Easterntex: KM. 50 Surabaya – Pandaan Kab. Pasuruan, Jawa Timur 
[Location 3, CENTEX]: Jl. Raya Bogor KM 27, Ciracas, Jakarta</t>
    <phoneticPr fontId="8"/>
  </si>
  <si>
    <t>ISTEM: S 6°10'01.9", E 106°37'20.5"
P.T. Easterntex: S 7°40'31.5", E 112°42'11.9", 
CENTEX: S 6°19'31.6", E106°52'40.0"</t>
  </si>
  <si>
    <t xml:space="preserve"> 
ID_AM011 Ver1.0</t>
  </si>
  <si>
    <t>Air jet loom</t>
    <phoneticPr fontId="8"/>
  </si>
  <si>
    <t>Central government officials; Local government official(s); Company management(s); Associations(s)</t>
    <phoneticPr fontId="44"/>
  </si>
  <si>
    <t>TPE-ID-011 PT. MUTUAGUNG LESTARI</t>
  </si>
  <si>
    <t>Installation of Tribrid System to mobile communication’s Base Transceiver Stations in Republic of Indonesia</t>
  </si>
  <si>
    <t>PT XL Axiata Tbk.</t>
  </si>
  <si>
    <t>KDDI Corporation</t>
  </si>
  <si>
    <t xml:space="preserve">20 areas </t>
  </si>
  <si>
    <t>Confidential</t>
  </si>
  <si>
    <t>ID_AM014 Ver1.0</t>
  </si>
  <si>
    <t>Central government official(s); Related company(ies)</t>
  </si>
  <si>
    <t>Lao PDR Energy Efficient Datacenter Project (LEED)</t>
  </si>
  <si>
    <t>Ministry of Science and Technology, Lao P.D.R</t>
  </si>
  <si>
    <t>Toyota Tsusho Corporation, Internet Initiative Japan Inc.,
Mitsubishi UFJ Morgan Stanley Securities Co., Ltd.</t>
  </si>
  <si>
    <t>Vientiane Capital</t>
  </si>
  <si>
    <t>Confidential</t>
    <phoneticPr fontId="8"/>
  </si>
  <si>
    <t xml:space="preserve"> LA_AM001 Ver1.0</t>
  </si>
  <si>
    <t>TPE-LA-002 Japan Quality Assurance
Organization</t>
  </si>
  <si>
    <t>MN001</t>
  </si>
  <si>
    <t>Installation of high-efficiency Heat Only Boilers in 118th School of Ulaanbaatar City Project_x000D_</t>
  </si>
  <si>
    <t>ANU-SERVICE CO.,LTD.</t>
  </si>
  <si>
    <t>SUURI-KEIKAKU CO.,LTD.</t>
  </si>
  <si>
    <t>8th Khoroo, Khan-Uul District,
Ulaanbaatar City</t>
  </si>
  <si>
    <t>N 47° 51' 42.3", E 106° 47' 43.3"</t>
  </si>
  <si>
    <t>MN_AM002 Ver1.0</t>
  </si>
  <si>
    <t>TPE-MN-013 National Renewable Energy Centre (NREC)</t>
  </si>
  <si>
    <t>TPE-MN-013 National Renewable Energy Center, Mongolia</t>
  </si>
  <si>
    <t>MN002</t>
  </si>
  <si>
    <t>Centralization of heat supply system by installation of high-efficiency Heat Only Boilers in Bornuur soum Project_x000D_</t>
  </si>
  <si>
    <t>ANU-SERVICE CO.,LTD</t>
  </si>
  <si>
    <t>Bornuur soum, Tuv aimag</t>
  </si>
  <si>
    <t>N 48° 27' 53", E 106° 15' 26"</t>
  </si>
  <si>
    <t>Central government officials; Local government official(s); Related worker(s)</t>
  </si>
  <si>
    <t>MN003</t>
  </si>
  <si>
    <t>Installation of 12.7 MW Solar Power Plant for Power Supply In Ulaanbaatar Suburb</t>
  </si>
  <si>
    <t>Bridge LLC, Everyday Farm LLC</t>
  </si>
  <si>
    <t>Farmdo Co., Ltd.</t>
  </si>
  <si>
    <t>Solar power</t>
  </si>
  <si>
    <t>Songinokhairkhan district, Ulaanbaatar</t>
  </si>
  <si>
    <t>N 48°2'06", E 106°30'59"</t>
  </si>
  <si>
    <t>MN_AM003 Ver1.0</t>
  </si>
  <si>
    <t>Solar photovoltaic (PV) system, Solar power plant</t>
  </si>
  <si>
    <t>Central government officials; Local government official(s); Academic institution(s)</t>
  </si>
  <si>
    <t>Addition of capacity</t>
  </si>
  <si>
    <t>MN004</t>
  </si>
  <si>
    <t>10MW Solar Power Project in Darkhan City</t>
  </si>
  <si>
    <t>Solar Power International LLC</t>
  </si>
  <si>
    <t>Sharp Corporation</t>
  </si>
  <si>
    <t>Darkhan City, Darkhan-Uul Province</t>
  </si>
  <si>
    <t>N 49° 24'07.24", E 105°56'41.78"</t>
  </si>
  <si>
    <t>TPE-MN-004
Japan Management Association (JMA)</t>
  </si>
  <si>
    <t>TPE-MN-007 Lloyd’s Register Quality Assurance Limited</t>
  </si>
  <si>
    <t>A High Efficiency and Low Loss Power Transmission and Distribution System in Mongolia</t>
  </si>
  <si>
    <t>National Power Transmission Grid, State Owned Stock Company (NPTG)</t>
  </si>
  <si>
    <t xml:space="preserve">Power distribution grid </t>
    <phoneticPr fontId="8"/>
  </si>
  <si>
    <t>Ömnögovi and Dornogovi provinces</t>
  </si>
  <si>
    <t>(1) Ömnögovi province: N 43°06'26.4'', E 106°46'10.0''; 
(2) Dornogovi province: N 43°52'46.5", E108°20'27.5"</t>
  </si>
  <si>
    <t xml:space="preserve"> 
MN_AM001 Ver1.0</t>
  </si>
  <si>
    <t xml:space="preserve">Transmission and Distribution line system </t>
  </si>
  <si>
    <t>Central government official(s); Academic institution management</t>
  </si>
  <si>
    <t xml:space="preserve"> TPE-MN-007 Lloyd’s Register Quality Assurance Limited</t>
  </si>
  <si>
    <t>Solar Power on Rooftop of School Building Project</t>
  </si>
  <si>
    <t>Villa Educational Services Private Ltd.</t>
  </si>
  <si>
    <t>Rah’debau Hingun, Male, Male City</t>
  </si>
  <si>
    <t>N 4° 10' 10.3'', E 73° 30' 32.5"</t>
  </si>
  <si>
    <t xml:space="preserve"> 
MV_AM001 Ver1.0</t>
  </si>
  <si>
    <t>Solar photovoltaic (PV) system, -</t>
  </si>
  <si>
    <t>TPE-MV-002 Lloyd’s Register Quality Assurance Limited</t>
  </si>
  <si>
    <t>PW001</t>
  </si>
  <si>
    <t>Small scale solar power plants for commercial facilities in island states_x000D_</t>
  </si>
  <si>
    <t>Subproject 1: Western Caroline Trading Company
Subproject 2: Surangel and Sons Company</t>
  </si>
  <si>
    <t>Pacific Consultants Co., Ltd. (PCKK), InterAct Inc.</t>
  </si>
  <si>
    <t>Koror State_x000D_</t>
  </si>
  <si>
    <t>Subproject 1: N 7° 21’ 01.9”, E 134° 28’ 48.4”
Subproject 2: N 7° 20’ 30.6”, E 134° 28’ 41.9”</t>
  </si>
  <si>
    <t>PW_AM001 Ver1.0</t>
  </si>
  <si>
    <t>28/10/2014 - 
29/10/2014</t>
  </si>
  <si>
    <t>Academic institution management; User(s)</t>
    <phoneticPr fontId="44"/>
  </si>
  <si>
    <t xml:space="preserve">TPE-PW-002 Japan Management Association </t>
  </si>
  <si>
    <t>PW002</t>
  </si>
  <si>
    <t>Small Scale Solar Power Plants for Schools in Island States</t>
  </si>
  <si>
    <t>Palau Adventist Schools</t>
  </si>
  <si>
    <t>Pacific Consultants Co., Ltd. (PCKK)</t>
  </si>
  <si>
    <t>[Site A] 
Madalaii Hamlet, Koror State
[Site B]
Ngerikiil Hamlet, 
Airai State</t>
  </si>
  <si>
    <t>Site A: N 7°20'29", E 134°28'36"
Site B: N 7°22'31", E 134°33'28"</t>
  </si>
  <si>
    <t>TPE-PW-002 Japan Management Association</t>
  </si>
  <si>
    <t>PW003</t>
  </si>
  <si>
    <t>Small Scale Solar Power Plants for Commercial Facilities in Island States II</t>
  </si>
  <si>
    <t>Subproject 1, 2:
Western Caroline Trading Company
Subproject 3:
Palau Investment Development Company</t>
  </si>
  <si>
    <t>[Subproject 1]
Malakal Hamlet
[Subproject 2] Ngerbeched Hamlet
[Subproject 3]
Ngerchemai Hamlet
Koror State</t>
  </si>
  <si>
    <t>[Subproject 1] 
21/01/2016
[Subproject 2] 
26/01/2016
[Subproject 3] 
06/02/2016</t>
  </si>
  <si>
    <t xml:space="preserve">TPE-PW-001 Lloyd's Register Quality Assurance Limited
(LRQA) </t>
  </si>
  <si>
    <t>Introduction of Solar PV Systems on Rooftops of Factory and Office Building</t>
  </si>
  <si>
    <t>Siam Steel International Public Company Limited</t>
  </si>
  <si>
    <t>51 Moo 2, Poochao Rd., Bangyaprak, Phrapradaeng</t>
  </si>
  <si>
    <t>Site A: N 13° 38' 47" and E 100° 32' 55"
Site B: N 13° 39' 01" and E 100° 33' 01"</t>
  </si>
  <si>
    <t xml:space="preserve"> 
TH_AM001 Ver1.0</t>
  </si>
  <si>
    <t>[Site A] 27/06/2016
[Site B] 20/06/2016</t>
  </si>
  <si>
    <t>Company employee(s); Related worker(s)</t>
  </si>
  <si>
    <t>TPE-TH-001
Lloyd's Register Quality Assurance Limited (LRQA)</t>
  </si>
  <si>
    <t>Installation of High Efficiency Air Conditioning System and Chillers in Semiconductor Factory</t>
  </si>
  <si>
    <t>Sony Device Technology (Thailand) Co., Ltd.</t>
  </si>
  <si>
    <t>Tambol Bangkadi Amphur Muang, Pathumthani</t>
  </si>
  <si>
    <t>N 13°58'47.6", E 100°33'23.0"</t>
  </si>
  <si>
    <t xml:space="preserve"> 
TH_AM003 Ver1.0
TH_AM006 Ver1.0</t>
  </si>
  <si>
    <t>TPE-TH-003 Japan Quality Assurance
Organization</t>
  </si>
  <si>
    <t>Energy Saving for Semiconductor Factory with High Efficiency Centrifugal Chiller and Compressor</t>
  </si>
  <si>
    <t>TH_AM003 Ver1.0
TH_AM002 Ver2.0</t>
  </si>
  <si>
    <t>User(s); Local government official(s)</t>
  </si>
  <si>
    <t>Eco-Driving by Utilizing Digital Tachograph System_x000D_</t>
  </si>
  <si>
    <t>Viet Nam</t>
    <phoneticPr fontId="8"/>
  </si>
  <si>
    <t>Nippon Express (Viet Nam) Co., Ltd.</t>
  </si>
  <si>
    <t>Nippon Express Co., Ltd.</t>
  </si>
  <si>
    <t>[Hanoi]
Quang Minh Warehouse, Me Linh, Quang Minh IP   
[Ho Chi Minh]
Song Than Logistics Center, Song Than II Industrial Zone, Di An District, Binh Duong Province</t>
  </si>
  <si>
    <t xml:space="preserve">Hanoi: N 21°11' 47", E 105°45'58"
Ho Chi Minh: N 10°53' 51", E 106°45'04"
</t>
  </si>
  <si>
    <t>VN_AM001 Ver1.0</t>
  </si>
  <si>
    <t>25/01/2015 - 05/06/2015</t>
  </si>
  <si>
    <t>Company management(s); Central government official(s)</t>
  </si>
  <si>
    <t xml:space="preserve">TPE-VN-001 Lloyd’s Register Quality Assurance Limited </t>
  </si>
  <si>
    <t>TPE-VN-001 Lloyd’s Register Quality Assurance Limited</t>
  </si>
  <si>
    <t>Promotion of green hospitals by improving efficiency / environment in national hospitals in Vietnam_x000D_</t>
  </si>
  <si>
    <t>Energy Conservation Center Ho Chi Minh City (ECC)</t>
  </si>
  <si>
    <t>Mitsubishi Electric Corporation, Mitsubishi Corporation, Mitsubishi UFJ Morgan Stanley Securities Co., Ltd.</t>
  </si>
  <si>
    <t>[Ho Chi Minh City]
People’s Hospital 115, Ward 12, District 10
[Hanoi]
Viet Duc Hospital, Hoan Kiem District</t>
  </si>
  <si>
    <t>Ho Chi Minh City: N 10° 46' 29.42", E 106° 40' 2.69"
Hanoi: N 21° 1' 38.40", E 105° 50' 49.31"</t>
  </si>
  <si>
    <t>VN_AM002 Ver1.0</t>
  </si>
  <si>
    <t>Low carbon hotel project in Vietnam: Improving the energy efficiency of commercial buildings by utilization of high efficiency equipment</t>
  </si>
  <si>
    <t>Hochiminh City University of Natural Resources and Environment (HCMUNRE)</t>
  </si>
  <si>
    <t>Hibiya Engineering, Ltd., Mitsubishi UFJ Morgan Stanley Securities Co., Ltd.</t>
  </si>
  <si>
    <t>[Location 1] Hotel Nikko Hanoi: 84 Tran Nhan Tong Street, Hanoi
[Location 2] Renaissance Riverside Hotel Saigon: 8-15 Ton Duc Thang Street, District 1, Ho Chi Minh City</t>
  </si>
  <si>
    <t>Location 1_Hotel Nikko Hanoi: N 21゜01'04.72", E 105゜50'31.05"
Location 2_Renaissance Riverside Hotel Saigon: N 10゜46'31.80", E 106゜41'50.50"</t>
  </si>
  <si>
    <t>VN_AM003  ver1.0</t>
  </si>
  <si>
    <t>Boiler, Heat pump, LED lighting</t>
  </si>
  <si>
    <t>TPE-VN-002 Japan Quality Assurance Organization</t>
  </si>
  <si>
    <t>VN004</t>
  </si>
  <si>
    <t>Introduction of amorphous high efficiency transformers in power distribution systems in the southern part of Viet Nam</t>
  </si>
  <si>
    <t>EVN Southern Power Corporation (EVNSPC)</t>
  </si>
  <si>
    <t>YUKO-KEISO Co., Ltd.</t>
  </si>
  <si>
    <t xml:space="preserve">Power distribution grid </t>
  </si>
  <si>
    <t xml:space="preserve">①: S 10°22'56.8", E 105°26'09.5"
②: S 10°20'49.7", E 107°04'34.7"
③: S 9°17'45.0", E 105°43'34.9"
④: S 10°16'13.4", E 106°21'29.5"
⑤: S 10°57'58.4", E 106°40'08.3"
⑥: S 11°31'44.0", E 106°52'17.5"
⑦: S 10°56'53.2", E 108°06'37.7"
⑧: S 9°10'46.5", E 105°08'46.3"
⑨: S 10°02'18.9", E 105°47'14.0"
⑩: S 10°27'32.4", E 105°38'26.9"
⑪: S 9°46'25.2", E 105°27'18.6"
⑫: S 10°00'13.8", E 105°04'58.7"
⑬: S 10°32'31.7", E 106°24'42.8"
⑭: S 11°33'50.2", E 109°00'35.5"
⑮: S 9°35'47.0", E 105°58'27.9"
⑯: S 11°18'35.1", E 106°06'21.2"
⑰: S 10°21'24.5", E 106°22'21.0"
⑱: S 9°56'13.7", E 106°20'39.6"
⑲: S 10°15'30.3", E 105°57'10.6"
</t>
  </si>
  <si>
    <t>VN_AM005 ver.1</t>
  </si>
  <si>
    <t>Transformer</t>
  </si>
  <si>
    <t>16/11/2015 - 17/11/2015</t>
  </si>
  <si>
    <t>Company management(s); User(s); Academic institution(s)</t>
    <phoneticPr fontId="44"/>
  </si>
  <si>
    <t>TPE-VN-001 Lloyd’s Register Quality Assurance Limited</t>
    <phoneticPr fontId="8"/>
  </si>
  <si>
    <t>VN005</t>
  </si>
  <si>
    <t>Introduction of High Efficiency Air-conditioning in Hotel</t>
  </si>
  <si>
    <t>Peace Real Estate Investment Company Limited</t>
  </si>
  <si>
    <t>NTT DATA INSTITUTE OF MAN/AGEMENT CONSULTING, Inc.</t>
  </si>
  <si>
    <t>Hanoi City</t>
  </si>
  <si>
    <t>N 21°03'04.7",  E 105°78'54.9"</t>
  </si>
  <si>
    <t>VN_AM006 Ver1.0</t>
  </si>
  <si>
    <t>TPE-VN-002 Japan Quality Assurance
Organization (JQA)</t>
  </si>
  <si>
    <t>VN006</t>
  </si>
  <si>
    <t>Energy saving and work efficiency improvement by introducing a new chip-on-board LED system in Vietnam</t>
    <phoneticPr fontId="8"/>
  </si>
  <si>
    <t>Department of Science and Technology of Quang Tri Province (DOST)</t>
  </si>
  <si>
    <t>Dong ha City, Quang Tri Province</t>
  </si>
  <si>
    <t>N 16°49'49.0", E 107°05'50.0"</t>
  </si>
  <si>
    <t>VN_AM008 ver1.0</t>
  </si>
  <si>
    <t>VN008</t>
  </si>
  <si>
    <t>Introduction of Amorphous High Efficiency Transformers in Southern and Central Power Grids</t>
  </si>
  <si>
    <t>EVN Southern Power Corporation, EVN Central Power Corporation, Da Nang Power Company Ltd., Ho Chi Minh City Power Corporation</t>
  </si>
  <si>
    <t>34 locations of headquarters of each regional and district power companies</t>
  </si>
  <si>
    <t xml:space="preserve"> 
VN_AM005 Ver1.0</t>
  </si>
  <si>
    <t>TPE-VN-003-Japan Management Association (JMA)</t>
  </si>
  <si>
    <t>VN009</t>
  </si>
  <si>
    <t>Introduction of Energy-Efficient Air Conditioners in RICOH IMAGING PRODUCTS (Vietnam) CO., LTD</t>
  </si>
  <si>
    <t>RICOH IMAGING PRODUCTS (Vietnam) CO., LTD.</t>
  </si>
  <si>
    <t>RICOH COMPANY, LTD.</t>
  </si>
  <si>
    <t>lot A7, Sai Dong B Industrial Zone, Long Bien District, Hanoi</t>
  </si>
  <si>
    <t>N 21°01'41.2", E 105°54'23.2"</t>
  </si>
  <si>
    <t>TPE-VN-002 Japan Quality Assurance Organization</t>
    <phoneticPr fontId="8"/>
  </si>
  <si>
    <t>Table 1: Number of Registered Projects by Type of Project and Country</t>
    <phoneticPr fontId="8"/>
  </si>
  <si>
    <t>Chart 1: Number of Registered Projects by Type of Project and Country</t>
    <phoneticPr fontId="8"/>
  </si>
  <si>
    <t>Chart 2: Number of Registered Projects by Types of Projects</t>
    <phoneticPr fontId="8"/>
  </si>
  <si>
    <t>Transportation</t>
    <phoneticPr fontId="8"/>
  </si>
  <si>
    <t>Table 2: Estimated Emission Reduction by Country and Fiscal year</t>
    <phoneticPr fontId="8"/>
  </si>
  <si>
    <t>Table 2: Estimated Emission Reductions by Type of Project</t>
    <phoneticPr fontId="8"/>
  </si>
  <si>
    <t>Chart 3: Number of Estimated Emission Reductions by Type of Project</t>
    <phoneticPr fontId="8"/>
  </si>
  <si>
    <t>Table 3: Amount of Issued Credits</t>
    <phoneticPr fontId="8"/>
  </si>
  <si>
    <t>Registration time,
from request (cal. days)</t>
  </si>
  <si>
    <t>No. of projects</t>
  </si>
  <si>
    <r>
      <rPr>
        <sz val="11"/>
        <color theme="1"/>
        <rFont val="ＭＳ Ｐゴシック"/>
        <family val="2"/>
      </rPr>
      <t>≤</t>
    </r>
    <r>
      <rPr>
        <sz val="11"/>
        <color theme="1"/>
        <rFont val="Arial"/>
        <family val="2"/>
      </rPr>
      <t xml:space="preserve"> 30</t>
    </r>
  </si>
  <si>
    <t>Average no. of cal. days</t>
  </si>
  <si>
    <t>Financed Projects</t>
    <phoneticPr fontId="8"/>
  </si>
  <si>
    <t>JCM financial support schemes for implementing the project, excluding JCM Feasibility Studies. This list is not exhaustive.</t>
    <phoneticPr fontId="8"/>
  </si>
  <si>
    <t>Support scheme</t>
  </si>
  <si>
    <t xml:space="preserve">Supporting agency </t>
  </si>
  <si>
    <t>Detail of support</t>
    <phoneticPr fontId="8"/>
  </si>
  <si>
    <t>Ministry of Environment Japan (MOE), JICA, and other governmental-affiliated financial institute</t>
  </si>
  <si>
    <r>
      <t>It finances up to the half of an investment cost for such as facilities, equipment, vehicles, construction/installation, which reduce CO</t>
    </r>
    <r>
      <rPr>
        <vertAlign val="subscript"/>
        <sz val="12"/>
        <color theme="1"/>
        <rFont val="Segoe UI"/>
        <family val="2"/>
      </rPr>
      <t>2</t>
    </r>
    <r>
      <rPr>
        <sz val="12"/>
        <color theme="1"/>
        <rFont val="Segoe UI"/>
        <family val="2"/>
      </rPr>
      <t xml:space="preserve"> from fossil fuel combustion. It is expected to deliver at least half of JCM credits issued from MRV to the Government of Japan. It includes collaboration with projects supported by JICA and other governmental affiliated financial institute (previously called Collaborative Financing Programme). More information: http://gec.jp/jcm/about/</t>
    </r>
    <phoneticPr fontId="8"/>
  </si>
  <si>
    <t>JCM REDD+ Model Project</t>
  </si>
  <si>
    <t>Ministry of Environment Japan (MOE)</t>
  </si>
  <si>
    <t>It finances part of the cost to implement activities for REDD+. It is expected to deliver at least half of JCM credits issued to the Government of Japan, except the amount which is allocated to the partner country based on its legislation. More information: http://gec.jp/jcm/about/</t>
    <phoneticPr fontId="8"/>
  </si>
  <si>
    <t>Ministry of Economy, Trade, and Industry (METI)</t>
  </si>
  <si>
    <t>It is implemented by NEDO (New Energy and Industrial Technology Development Organization) under the financial support from the Ministry of Economy, Trade, and Industry Japan. It supports the project costs necessary to verify the amount of GHG emission reduction (MRV), e.g. cost of design, machines, materials, labour, travel. More information: http://www.nedo.go.jp/english/activities_index.html</t>
    <phoneticPr fontId="8"/>
  </si>
  <si>
    <t>ADB Trust Fund JF JCM</t>
  </si>
  <si>
    <t>MOE and Asian Development Bank (ADB)</t>
  </si>
  <si>
    <t>Japan Fund for JCM (JF JCM) provides financial incentives for the adoption of the advanced low‐carbon technologies in ADB-financed projects. Financial support includes grant (for public sector) and loan interest subsidy (for private sector, project owner or local financial institution). Develop ADB projects as “Leapfrog” developments by the advanced technologies especially renewable energy and energy efficiency projects. More information: https://www.adb.org/site/funds/funds/japan-fund-for-joint-crediting-mechanism</t>
  </si>
  <si>
    <t>F-gas Recovery and Destruction Model Project</t>
    <phoneticPr fontId="8"/>
  </si>
  <si>
    <t>It finances up to the half of an investment cost only for F-gas recovery and destruction project.. Basic scheme is the same as "JCM Model Project".</t>
    <phoneticPr fontId="8"/>
  </si>
  <si>
    <t>Status</t>
    <phoneticPr fontId="8"/>
  </si>
  <si>
    <t>Support Scheme</t>
  </si>
  <si>
    <t>Project Reference ID</t>
    <phoneticPr fontId="8"/>
  </si>
  <si>
    <t>Project Title</t>
  </si>
  <si>
    <t>Country</t>
  </si>
  <si>
    <t>Project Entity</t>
  </si>
  <si>
    <t>Type of Project</t>
  </si>
  <si>
    <t>Technology</t>
  </si>
  <si>
    <t>Fiscal Year</t>
  </si>
  <si>
    <t>Fiscal Year</t>
    <phoneticPr fontId="8"/>
  </si>
  <si>
    <t>Selected Date</t>
  </si>
  <si>
    <t>Expected GHG Emission Reductions (tCO2/year)</t>
  </si>
  <si>
    <t xml:space="preserve">Project information in English publicly available </t>
  </si>
  <si>
    <t>JCM Model Project</t>
    <phoneticPr fontId="8"/>
  </si>
  <si>
    <t>Installing</t>
    <phoneticPr fontId="8"/>
  </si>
  <si>
    <t>-</t>
    <phoneticPr fontId="8"/>
  </si>
  <si>
    <t>1.1MW Rooftop Solar System in Maamigili and Maandhoo Island</t>
    <phoneticPr fontId="8"/>
  </si>
  <si>
    <t>Sharp Energy Solutions Corporation</t>
    <phoneticPr fontId="8"/>
  </si>
  <si>
    <t>Renewable energy</t>
    <phoneticPr fontId="8"/>
  </si>
  <si>
    <t>FY2019</t>
    <phoneticPr fontId="8"/>
  </si>
  <si>
    <t>Yes</t>
    <phoneticPr fontId="8"/>
  </si>
  <si>
    <t>JCM Model Project</t>
    <phoneticPr fontId="8"/>
  </si>
  <si>
    <t>Installing</t>
    <phoneticPr fontId="8"/>
  </si>
  <si>
    <t>Introduction of High Efficiency Air-conditioning System and Air Cooled Chillers to Hotel and Office Buildings</t>
    <phoneticPr fontId="8"/>
  </si>
  <si>
    <t>Hitachi-Johnson Controls Air Conditioning, Inc.</t>
    <phoneticPr fontId="8"/>
  </si>
  <si>
    <t>FY2019</t>
    <phoneticPr fontId="8"/>
  </si>
  <si>
    <t>Yes</t>
    <phoneticPr fontId="8"/>
  </si>
  <si>
    <t>JCM Model Project</t>
    <phoneticPr fontId="8"/>
  </si>
  <si>
    <t>-</t>
    <phoneticPr fontId="8"/>
  </si>
  <si>
    <t>2MW Mini Hydro Power Plant Project in East Nusa Tenggara Province</t>
    <phoneticPr fontId="8"/>
  </si>
  <si>
    <t>Aura Green Energy Co., Ltd</t>
  </si>
  <si>
    <t>FY2019</t>
    <phoneticPr fontId="8"/>
  </si>
  <si>
    <t>Introduction of High Efficiency Boiler System to Carton Box Factory</t>
    <phoneticPr fontId="8"/>
  </si>
  <si>
    <t>Japan Pulp and Paper Company Limited</t>
    <phoneticPr fontId="8"/>
  </si>
  <si>
    <t>Installing</t>
    <phoneticPr fontId="8"/>
  </si>
  <si>
    <t>3.4MW Rice Husk Power Generation Project in Maule</t>
    <phoneticPr fontId="8"/>
  </si>
  <si>
    <t>Asian Gateway Corporation</t>
  </si>
  <si>
    <t>Waste management &amp; biomass utilisation</t>
    <phoneticPr fontId="8"/>
  </si>
  <si>
    <t>-</t>
    <phoneticPr fontId="8"/>
  </si>
  <si>
    <t>120MW Solar Power Project in Metehara, Oromia Region</t>
    <phoneticPr fontId="8"/>
  </si>
  <si>
    <t>Sharp Energy Solutions Corporation</t>
    <phoneticPr fontId="8"/>
  </si>
  <si>
    <t>Renewable energy</t>
    <phoneticPr fontId="8"/>
  </si>
  <si>
    <t>49MW Solar Power Project in An Giang Province</t>
    <phoneticPr fontId="8"/>
  </si>
  <si>
    <t>Kanematsu KGK Corp.</t>
  </si>
  <si>
    <t>Hitachi-Johnson Controls Air Conditioning, Inc.</t>
    <phoneticPr fontId="8"/>
  </si>
  <si>
    <t>Yes</t>
    <phoneticPr fontId="8"/>
  </si>
  <si>
    <t>10MW Hydro Power Project in Bengkulu Province</t>
    <phoneticPr fontId="8"/>
  </si>
  <si>
    <t>Voith Fuji Hydro K.K.</t>
  </si>
  <si>
    <t>6MW Hydro Power Project in West Sumatera Province</t>
    <phoneticPr fontId="8"/>
  </si>
  <si>
    <t>Hybrid Power Plant Project with Biomass and Solar Power in Kandal Province</t>
    <phoneticPr fontId="8"/>
  </si>
  <si>
    <t>WWB Corporation</t>
  </si>
  <si>
    <t>Introduction of 1.1MW Solar Power System at International School</t>
    <phoneticPr fontId="8"/>
  </si>
  <si>
    <t>3MW Solar Power Project in Chillan, Nuble Region</t>
  </si>
  <si>
    <t>FARMLAND Co., Ltd.</t>
  </si>
  <si>
    <t>Introduction of 15MW Biomass Power System to Sugar Plant</t>
  </si>
  <si>
    <t>Global Engineering Co., Ltd.</t>
  </si>
  <si>
    <t>Waste management &amp; biomass utilisation</t>
    <phoneticPr fontId="8"/>
  </si>
  <si>
    <t>33MW Wind Power Project in Caraga Region, Mindanao</t>
  </si>
  <si>
    <t>Chodai Co., Ltd.</t>
  </si>
  <si>
    <t>Improving Access to Health Services for Disadvantaged Groups Investment Program</t>
    <phoneticPr fontId="8"/>
  </si>
  <si>
    <t>Ministry of Health</t>
  </si>
  <si>
    <t>Introduction of Biomass Boiler to Chemical Factory</t>
    <phoneticPr fontId="8"/>
  </si>
  <si>
    <t>Viet Nam</t>
    <phoneticPr fontId="8"/>
  </si>
  <si>
    <t>DAIICHI JITSUGYO CO., LTD.</t>
    <phoneticPr fontId="8"/>
  </si>
  <si>
    <t>Introduction of 37 MW Solar Power System and High Efficiency Melting Furnace in Vehicle &amp; Engine Factory</t>
    <phoneticPr fontId="8"/>
  </si>
  <si>
    <t>Toyota Motor Corporation</t>
    <phoneticPr fontId="8"/>
  </si>
  <si>
    <t>Efficiency Improvement of Co-generation System by Installation of Heat Exchanger in Fiber Factory</t>
    <phoneticPr fontId="8"/>
  </si>
  <si>
    <t>NIPPON STEEL ENGINEERING CO., LTD.</t>
    <phoneticPr fontId="8"/>
  </si>
  <si>
    <t>Biogas Power Generation and Fuel Conversion Project in Pineapple Canneries</t>
    <phoneticPr fontId="8"/>
  </si>
  <si>
    <t>ITOCHU Corporation</t>
    <phoneticPr fontId="8"/>
  </si>
  <si>
    <t>Fuel Conversion by Introduction of LPG Boilers to Beverage Factory</t>
    <phoneticPr fontId="8"/>
  </si>
  <si>
    <t>Mongolia</t>
    <phoneticPr fontId="8"/>
  </si>
  <si>
    <t>Saisan Co.,Ltd.</t>
    <phoneticPr fontId="8"/>
  </si>
  <si>
    <t>Introduction of 1MW Solar Power System on Supermarket Rooftop</t>
    <phoneticPr fontId="8"/>
  </si>
  <si>
    <t>30MW Solar Power Project in La Paz city</t>
    <phoneticPr fontId="8"/>
  </si>
  <si>
    <t>Mexico</t>
    <phoneticPr fontId="8"/>
  </si>
  <si>
    <t>19 MW Mini Hydro Power Plant Project in Isabela Province</t>
    <phoneticPr fontId="8"/>
  </si>
  <si>
    <t>Voith Fuji Hydro K.K.</t>
    <phoneticPr fontId="8"/>
  </si>
  <si>
    <t>18MW Solar Power Project in Collaboration with Power-supply Company</t>
    <phoneticPr fontId="8"/>
  </si>
  <si>
    <t>Tokyo Century Corporation</t>
    <phoneticPr fontId="8"/>
  </si>
  <si>
    <t>Renewable energy</t>
    <phoneticPr fontId="8"/>
  </si>
  <si>
    <t>Viet Nam</t>
    <phoneticPr fontId="8"/>
  </si>
  <si>
    <t>Marubeni Corp</t>
    <phoneticPr fontId="8"/>
  </si>
  <si>
    <t>F-gas recovery and destruction</t>
    <phoneticPr fontId="8"/>
  </si>
  <si>
    <t>No</t>
    <phoneticPr fontId="8"/>
  </si>
  <si>
    <t>F-gas Recovery and Destruction Model Project</t>
    <phoneticPr fontId="8"/>
  </si>
  <si>
    <t>Implementation</t>
    <phoneticPr fontId="8"/>
  </si>
  <si>
    <t>DOWA ECO-SYSTEM Co., Ltd.</t>
    <phoneticPr fontId="8"/>
  </si>
  <si>
    <t>FY2018</t>
    <phoneticPr fontId="8"/>
  </si>
  <si>
    <t>38MW Solar Power Project in Makueni county</t>
  </si>
  <si>
    <t>Sharp Energy Solutions Corporation</t>
  </si>
  <si>
    <t>Solar photovoltaic (PV) system</t>
    <phoneticPr fontId="8"/>
  </si>
  <si>
    <t>FY2018</t>
  </si>
  <si>
    <t>11MW Solar Power Project in Savannakhet Province</t>
  </si>
  <si>
    <t>12MW Biomass Power Plant Project in Ache Province, Sumatera</t>
  </si>
  <si>
    <t>Indonesia</t>
    <phoneticPr fontId="8"/>
  </si>
  <si>
    <t>Aura Green Energy Co., Ltd.</t>
  </si>
  <si>
    <t>Waste management &amp; biomass utilisation</t>
    <phoneticPr fontId="8"/>
  </si>
  <si>
    <t>Biomass power plant</t>
    <phoneticPr fontId="8"/>
  </si>
  <si>
    <t>Introduction of High Efficiency Injection Molding Machine to Plastic Parts Factory</t>
  </si>
  <si>
    <t>Tokyo Century Corporation</t>
  </si>
  <si>
    <t>Injection molding machines</t>
    <phoneticPr fontId="8"/>
  </si>
  <si>
    <t>Introduction of Biomass Boiler to Cooking Oil Factory</t>
  </si>
  <si>
    <t>TEPIA Corporation Japan Co.,Ltd.</t>
  </si>
  <si>
    <t>Biomass boiler</t>
    <phoneticPr fontId="8"/>
  </si>
  <si>
    <t>-</t>
    <phoneticPr fontId="8"/>
  </si>
  <si>
    <t>Introduction of 0.8MW Solar Power System and High Efficiency Refrigerator to Food Factory</t>
    <phoneticPr fontId="8"/>
  </si>
  <si>
    <t>Thailand</t>
    <phoneticPr fontId="8"/>
  </si>
  <si>
    <t xml:space="preserve">Kanematsu KGK Corp. </t>
    <phoneticPr fontId="8"/>
  </si>
  <si>
    <t>Solar photovoltaic (PV) system; Solar power plant  ;Regrigerator</t>
    <phoneticPr fontId="8"/>
  </si>
  <si>
    <t>Rehabilitation Project of Power Generation System at Karai 7 Mini Hydro Power Plant</t>
    <phoneticPr fontId="8"/>
  </si>
  <si>
    <t>Voith Fuji Hydro K. K.</t>
  </si>
  <si>
    <t xml:space="preserve">Hydro generation unit </t>
  </si>
  <si>
    <t>Introduction of Energy Efficient Distillation System to Tequila Plant</t>
  </si>
  <si>
    <t xml:space="preserve">Suntory Spirits Limited </t>
  </si>
  <si>
    <t>Distillation system</t>
    <phoneticPr fontId="8"/>
  </si>
  <si>
    <t>2MW Solar Power and 4MWh Storage Battery Project in San Pedro de Atacama City</t>
    <phoneticPr fontId="8"/>
  </si>
  <si>
    <t>Liberal Solution Co., Ltd.</t>
  </si>
  <si>
    <t>Solar photovoltaic (PV) system</t>
    <phoneticPr fontId="8"/>
  </si>
  <si>
    <t>Introduction of Biogas Boiler and Waste Heat Recovery System to Beer factory</t>
  </si>
  <si>
    <t>Kirin Brewery Company., Ltd.</t>
  </si>
  <si>
    <t>Biogas boiler</t>
  </si>
  <si>
    <t>Upscaling Renewable Energy Sector Project</t>
    <phoneticPr fontId="8"/>
  </si>
  <si>
    <t>Mongolia</t>
    <phoneticPr fontId="8"/>
  </si>
  <si>
    <t>Southwest Transmission Grid Expansion Project</t>
    <phoneticPr fontId="8"/>
  </si>
  <si>
    <t>Yes (press release)</t>
  </si>
  <si>
    <t>0.16MW Micro Hydro Power System in Taguibo Water Supply Facility, Mindanao</t>
  </si>
  <si>
    <t>Introduction of 4MW Rooftop Solar Power System in Tire Factory</t>
  </si>
  <si>
    <t>2.5MW Rice Husk Power Generation Project in Butuan City, Mindanao</t>
  </si>
  <si>
    <t>Biomass power plant</t>
  </si>
  <si>
    <t>Introduction of 3.4 MW Rooftop Solar Power System in Technical Center and Office Buildings</t>
  </si>
  <si>
    <t>Toyota Motor Corporation</t>
  </si>
  <si>
    <t>25MW Rooftop and Floating Solar Power Project in Industrial Park</t>
  </si>
  <si>
    <t>Introduction of Gas Co-generation System and Absorption Chiller to Fiber Factory</t>
  </si>
  <si>
    <t>The Kansai Electric Power Company, Incorporated</t>
  </si>
  <si>
    <t>Energy efficiency</t>
    <phoneticPr fontId="8"/>
  </si>
  <si>
    <t>Co-generation system; Chiller</t>
    <phoneticPr fontId="8"/>
  </si>
  <si>
    <t>Introduction of 8.8MW Power Generation System by Waste Heat Recovery for Cement Plant</t>
  </si>
  <si>
    <t>30MW Solar Park Project in Guanajuato</t>
    <phoneticPr fontId="8"/>
  </si>
  <si>
    <t>Solar photovoltaic (PV) system; Solar power plant</t>
    <phoneticPr fontId="8"/>
  </si>
  <si>
    <t>Withdrawn</t>
    <phoneticPr fontId="8"/>
  </si>
  <si>
    <t>1.5MW Solar Power Project in Kampong Thom</t>
  </si>
  <si>
    <t>Solar photovoltaic (PV) system; Solar power plant</t>
    <phoneticPr fontId="8"/>
  </si>
  <si>
    <t>Introduction of 0.4MW Rooftop Solar Power System in Supermarket</t>
  </si>
  <si>
    <t>Yes</t>
    <phoneticPr fontId="8"/>
  </si>
  <si>
    <t>Withdrawn</t>
    <phoneticPr fontId="8"/>
  </si>
  <si>
    <t>Energy Saving for Air-conditioning System of Shopping Mall by High Efficiency Centrifugal Chiller and Air-conditioning Control System</t>
    <phoneticPr fontId="8"/>
  </si>
  <si>
    <t>iFORCOM Co.,Ltd.</t>
  </si>
  <si>
    <t>Implementation</t>
    <phoneticPr fontId="8"/>
  </si>
  <si>
    <t>Introduction of CNG-Diesel Hybrid Equipment to Public Bus in Semarang</t>
  </si>
  <si>
    <t>Hokusan Co., Ltd.</t>
  </si>
  <si>
    <t>Transportation</t>
    <phoneticPr fontId="8"/>
  </si>
  <si>
    <t xml:space="preserve">CNG hybrid equipment </t>
  </si>
  <si>
    <t>Implementation</t>
  </si>
  <si>
    <t>Energy Saving by Introducing High Efficiency Autoclave to Infusion Manufacturing Factory</t>
  </si>
  <si>
    <t>Otsuka Pharmaceutical Factory, Inc.</t>
  </si>
  <si>
    <t>Autoclave</t>
  </si>
  <si>
    <t>Introduction of 2.8MW Solar Power System in Healthcare and Food Factories</t>
    <phoneticPr fontId="8"/>
  </si>
  <si>
    <t>Takasago Thermal Engineering Co., Ltd.</t>
  </si>
  <si>
    <t>Energy Saving by Introduction of Inverters for Raw Water Intake Pumps</t>
    <phoneticPr fontId="8"/>
  </si>
  <si>
    <t>Water Pump</t>
    <phoneticPr fontId="8"/>
  </si>
  <si>
    <t>Installing</t>
    <phoneticPr fontId="8"/>
  </si>
  <si>
    <t>Modal Shift from Truck to Cargo Ship with Freshness Preservation Reefer Container</t>
  </si>
  <si>
    <t>Nihon Crant Co. Ltd.</t>
  </si>
  <si>
    <t>Transportation</t>
    <phoneticPr fontId="8"/>
  </si>
  <si>
    <t xml:space="preserve">Freshness preservation reefer container </t>
    <phoneticPr fontId="8"/>
  </si>
  <si>
    <t>21MW Solar Power Project in Bayanchandmani</t>
  </si>
  <si>
    <t>Introduction of 20MW Solar Power System in Darkhan City</t>
  </si>
  <si>
    <t>FY2017</t>
  </si>
  <si>
    <t>10MW Mini Hydro Power Plant Project in  Lae Ordi River in North Sumatra</t>
    <phoneticPr fontId="8"/>
  </si>
  <si>
    <t>CHODAI CO., LTD.</t>
  </si>
  <si>
    <t>Hydropower plant</t>
    <phoneticPr fontId="8"/>
  </si>
  <si>
    <t>Installation of 1.2MW Rooftop Solar Power System in Refrigerating Warehouse</t>
  </si>
  <si>
    <t xml:space="preserve">Tokyo Century Corporation </t>
  </si>
  <si>
    <t>Advanced energy saving type wastewater treatment system</t>
  </si>
  <si>
    <t>Ministry of Industry and Handicrafts, Ministry of Public Works and Transport</t>
  </si>
  <si>
    <t xml:space="preserve">Wastewater treatment </t>
    <phoneticPr fontId="8"/>
  </si>
  <si>
    <t>Introduction of Gas Co-generation System and Absorption Chiller to Motor Parts Factory</t>
  </si>
  <si>
    <t>DENSO CORPORATION</t>
  </si>
  <si>
    <t>Energy efficiency</t>
    <phoneticPr fontId="8"/>
  </si>
  <si>
    <t>Co-generation system; Chiller</t>
    <phoneticPr fontId="8"/>
  </si>
  <si>
    <t>Introduction of Absorption Chiller to Chemical Factory</t>
  </si>
  <si>
    <t>Introduction of  Amorphous High Efficiency Transformers in Southern and Central Power Grids Ⅱ</t>
  </si>
  <si>
    <t>Viet Nam</t>
    <phoneticPr fontId="8"/>
  </si>
  <si>
    <t>Yuko Keiso Co. Ltd.</t>
  </si>
  <si>
    <t>Transformers</t>
    <phoneticPr fontId="8"/>
  </si>
  <si>
    <t xml:space="preserve">Introduction of High Efficiency Centrifugal Chiller to Rubber Products Factory </t>
  </si>
  <si>
    <t>Viet Nam</t>
    <phoneticPr fontId="8"/>
  </si>
  <si>
    <t xml:space="preserve">YUASA TRADING CO.,LTD. </t>
  </si>
  <si>
    <t>-</t>
    <phoneticPr fontId="8"/>
  </si>
  <si>
    <t xml:space="preserve">Introduction of Energy Saving Equipment to Brewery </t>
  </si>
  <si>
    <t xml:space="preserve">Sapporo International Inc. </t>
  </si>
  <si>
    <t>Air compressor; Chiller; Boiler</t>
    <phoneticPr fontId="8"/>
  </si>
  <si>
    <t>Withdrawn</t>
    <phoneticPr fontId="8"/>
  </si>
  <si>
    <t xml:space="preserve">Introduction of Gas Co-generation System and Absorption Chiller to Large Shopping Mall </t>
    <phoneticPr fontId="8"/>
  </si>
  <si>
    <t xml:space="preserve">AEON Mall co., Ltd. </t>
  </si>
  <si>
    <t>Energy efficiency</t>
    <phoneticPr fontId="8"/>
  </si>
  <si>
    <t>FY2017</t>
    <phoneticPr fontId="8"/>
  </si>
  <si>
    <t>No</t>
    <phoneticPr fontId="8"/>
  </si>
  <si>
    <t>Withdrawn</t>
    <phoneticPr fontId="8"/>
  </si>
  <si>
    <t xml:space="preserve">Energy Saving for Air-Conditioning Utility System in Airport Terminal by High-efficiency Control Equipment </t>
  </si>
  <si>
    <t xml:space="preserve">iFORCOM Tokyo Co.,Ltd. </t>
  </si>
  <si>
    <t>Withdrawn</t>
  </si>
  <si>
    <t>-</t>
    <phoneticPr fontId="8"/>
  </si>
  <si>
    <t xml:space="preserve">Introduction of 4.6MW Solar Power System near Santiago Metropolitan Region </t>
    <phoneticPr fontId="8"/>
  </si>
  <si>
    <t xml:space="preserve">Sharp Corporation </t>
  </si>
  <si>
    <t>Renewable energy</t>
    <phoneticPr fontId="8"/>
  </si>
  <si>
    <t>Installing</t>
    <phoneticPr fontId="8"/>
  </si>
  <si>
    <t xml:space="preserve">Introduction of Biomass Co-Generation System to Food Factory </t>
  </si>
  <si>
    <t xml:space="preserve">Fuji-Foods Cooporation </t>
  </si>
  <si>
    <t>Energy efficiency</t>
    <phoneticPr fontId="8"/>
  </si>
  <si>
    <t xml:space="preserve">Introduction of Energy Efficient Equipment to Bangkok Port </t>
  </si>
  <si>
    <t xml:space="preserve">Yokohama Port Corporation </t>
  </si>
  <si>
    <t xml:space="preserve">Electric Forklifts; Hybrid RTG; LED lighting; Solar photovoltaic (PV) system; </t>
    <phoneticPr fontId="8"/>
  </si>
  <si>
    <t xml:space="preserve">Introduction of 1MW Solar Power System in North Sulawesi </t>
  </si>
  <si>
    <t xml:space="preserve">Takasago Thermal Engineering Co., Ltd. </t>
  </si>
  <si>
    <t xml:space="preserve">Introduction of  14MW floating solar power system in Vientiane </t>
  </si>
  <si>
    <t xml:space="preserve">TSB Co., Ltd. </t>
  </si>
  <si>
    <t>Installing</t>
    <phoneticPr fontId="8"/>
  </si>
  <si>
    <t>-</t>
    <phoneticPr fontId="8"/>
  </si>
  <si>
    <t xml:space="preserve">Introduction of Amorphous High Efficiency Transformers in Power Grid </t>
  </si>
  <si>
    <t xml:space="preserve">Yuko Keiso Co. Ltd. </t>
  </si>
  <si>
    <t>Transformers</t>
    <phoneticPr fontId="8"/>
  </si>
  <si>
    <t xml:space="preserve">Kyuden International Corporation </t>
  </si>
  <si>
    <t>Wind power plant</t>
    <phoneticPr fontId="8"/>
  </si>
  <si>
    <t>Introduction of 15MW Solar Power System near New Airport</t>
  </si>
  <si>
    <t xml:space="preserve">15MW Mini Hydro Power Plant Project in Siguil River in Mindanao </t>
  </si>
  <si>
    <t xml:space="preserve">Toyota Tsusho Corporation </t>
  </si>
  <si>
    <t>Hydropower plant</t>
    <phoneticPr fontId="8"/>
  </si>
  <si>
    <t xml:space="preserve">4MW Mini Hydro Power Plant Project in Taguibo River in Mindanao </t>
  </si>
  <si>
    <t xml:space="preserve">CHODAI CO., LTD. </t>
  </si>
  <si>
    <t>Renewable energy</t>
    <phoneticPr fontId="8"/>
  </si>
  <si>
    <t>Hydropower plant</t>
    <phoneticPr fontId="8"/>
  </si>
  <si>
    <t>Implementation</t>
    <phoneticPr fontId="8"/>
  </si>
  <si>
    <t xml:space="preserve">Introduction of 1.53MW Rooftop Solar Power System in Auto Parts Factories </t>
  </si>
  <si>
    <t>Renewable energy</t>
    <phoneticPr fontId="8"/>
  </si>
  <si>
    <t>Implementation</t>
    <phoneticPr fontId="8"/>
  </si>
  <si>
    <t xml:space="preserve">Introduction of 1MW Rooftop Solar Power System in Vehicle Assembly Factory </t>
  </si>
  <si>
    <t xml:space="preserve">Toyota Motor Corporation </t>
  </si>
  <si>
    <t>JCM REDD+ Model Project</t>
    <phoneticPr fontId="8"/>
  </si>
  <si>
    <t>REDD+ project in Luang Prabang Province through controlling slash-and-burn</t>
  </si>
  <si>
    <t>Waseda University</t>
  </si>
  <si>
    <t>LULUCF/REDD+</t>
    <phoneticPr fontId="8"/>
  </si>
  <si>
    <t>-</t>
    <phoneticPr fontId="8"/>
  </si>
  <si>
    <t>FY2017; FY2016; FY2015</t>
    <phoneticPr fontId="8"/>
  </si>
  <si>
    <t>2017/6/26; 2016/6/23; 2015/8/6</t>
    <phoneticPr fontId="8"/>
  </si>
  <si>
    <t>Withdrawn</t>
    <phoneticPr fontId="8"/>
  </si>
  <si>
    <t>Energy Saving of Air-Conditioning System by Recovering Waste Heat from Engine in Textile Factory</t>
    <phoneticPr fontId="8"/>
  </si>
  <si>
    <t>EBARA REFRIGERATION EQUIPMENT &amp; SYSTEMS CO., LTD</t>
  </si>
  <si>
    <t>FY2016</t>
  </si>
  <si>
    <t>Energy Saving by Inverters for Distribution Pumps in Water Treatment Plant</t>
    <phoneticPr fontId="8"/>
  </si>
  <si>
    <t>Metawater, Co., Ltd.</t>
  </si>
  <si>
    <t>Water Pump</t>
    <phoneticPr fontId="8"/>
  </si>
  <si>
    <t>Introduction of 0.8MW Solar Power Generation in International School</t>
  </si>
  <si>
    <t>Asian Gateway Corp.</t>
  </si>
  <si>
    <t>Introduction of 1MW Solar Power System and High Efficiency Centrifugal Chiller in Large Shopping Mall</t>
    <phoneticPr fontId="8"/>
  </si>
  <si>
    <t>AEON MALL Co., Ltd.</t>
  </si>
  <si>
    <t>Registered</t>
    <phoneticPr fontId="8"/>
  </si>
  <si>
    <t>CL001</t>
    <phoneticPr fontId="8"/>
  </si>
  <si>
    <t>Introduction of 1MW Rooftop Solar Power System to University</t>
  </si>
  <si>
    <t>Waseda Environmental Institute Co., Ltd.</t>
  </si>
  <si>
    <t>Feasibility Study on Demand Response Demonstration Project with High Efficiency Air Conditioner System</t>
    <phoneticPr fontId="8"/>
  </si>
  <si>
    <t>THE Power Grid Solution, Daikin</t>
    <phoneticPr fontId="8"/>
  </si>
  <si>
    <t>FY2019</t>
    <phoneticPr fontId="8"/>
  </si>
  <si>
    <t>Feasibility Study on IoT utilization promotion project to streamline and advance power generation assets for electric power companies in ASEAN countries</t>
    <phoneticPr fontId="8"/>
  </si>
  <si>
    <t>Thailand</t>
    <phoneticPr fontId="8"/>
  </si>
  <si>
    <t>Marubeni</t>
    <phoneticPr fontId="8"/>
  </si>
  <si>
    <t>Isolated area type wind power generation and ReMs demonstration project</t>
  </si>
  <si>
    <t>KOMAIHALTEC Inc., TAKAOKA TOKO CO., LTD., TEPCO Power Grid, Incorporated</t>
  </si>
  <si>
    <t>Wind power plant; Electricity distribution grid</t>
    <phoneticPr fontId="8"/>
  </si>
  <si>
    <t>Yes</t>
    <phoneticPr fontId="8"/>
  </si>
  <si>
    <t>Registered</t>
  </si>
  <si>
    <t>MN005</t>
    <phoneticPr fontId="8"/>
  </si>
  <si>
    <t>High efficiency and low loss power transmission and distribution system</t>
    <phoneticPr fontId="8"/>
  </si>
  <si>
    <t>Hitachi</t>
  </si>
  <si>
    <t xml:space="preserve">Transmission and Distribution line system </t>
    <phoneticPr fontId="8"/>
  </si>
  <si>
    <t>FY2016; FY2015; FY2014; FY2013</t>
    <phoneticPr fontId="8"/>
  </si>
  <si>
    <t>Rural Electrification Project for Communities by Micro Hydro Power in Ethiopia</t>
    <phoneticPr fontId="8"/>
  </si>
  <si>
    <t>NTT Data Institute of Management consulting,
Inc.</t>
  </si>
  <si>
    <t>FY2016; FY2015; FY2013; FY2012</t>
    <phoneticPr fontId="8"/>
  </si>
  <si>
    <t>Rural Electrification Project for Communities by Micro Hydro Power in Kenya</t>
    <phoneticPr fontId="8"/>
  </si>
  <si>
    <t>Energy saving paper making process</t>
    <phoneticPr fontId="8"/>
  </si>
  <si>
    <t>Viet Nam</t>
    <phoneticPr fontId="8"/>
  </si>
  <si>
    <t xml:space="preserve">Marubeni Corp., Nomura Research Institute, Ltd. </t>
  </si>
  <si>
    <t>FY2016; FY2015; FY2014</t>
    <phoneticPr fontId="8"/>
  </si>
  <si>
    <t>VN006</t>
    <phoneticPr fontId="8"/>
  </si>
  <si>
    <t>Energy Saving and Work Efficiency Improvement Project by special LED Equipment with new technology, COB</t>
    <phoneticPr fontId="8"/>
  </si>
  <si>
    <t>Viet Nam</t>
    <phoneticPr fontId="8"/>
  </si>
  <si>
    <t>LED lighting</t>
    <phoneticPr fontId="8"/>
  </si>
  <si>
    <t>FY2016; FY2015</t>
    <phoneticPr fontId="8"/>
  </si>
  <si>
    <t>LA001</t>
    <phoneticPr fontId="8"/>
  </si>
  <si>
    <t xml:space="preserve">Lao PDR Energy efficient data center (LEED) </t>
    <phoneticPr fontId="8"/>
  </si>
  <si>
    <t>Toyota Tsusho Corporation; Internet Initiative Japan Inc., Mitsubishi UFJ Morgan Stanley Securities Co., Ltd., Ministry of Science and Technology, Lao P.D.R</t>
    <phoneticPr fontId="8"/>
  </si>
  <si>
    <t>Data centre</t>
    <phoneticPr fontId="8"/>
  </si>
  <si>
    <t>FY2016; FY2015; FY2014</t>
    <phoneticPr fontId="8"/>
  </si>
  <si>
    <t>Yes</t>
    <phoneticPr fontId="8"/>
  </si>
  <si>
    <t>Registered</t>
    <phoneticPr fontId="8"/>
  </si>
  <si>
    <t>ID014</t>
    <phoneticPr fontId="8"/>
  </si>
  <si>
    <t>Energy saving by optimum operation at Oil factory</t>
    <phoneticPr fontId="8"/>
  </si>
  <si>
    <t>Yokogawa Electric Corporation</t>
    <phoneticPr fontId="8"/>
  </si>
  <si>
    <t>Utility Facility Operation Optimization Technology</t>
    <phoneticPr fontId="8"/>
  </si>
  <si>
    <t>FY2016; FY2015; FY2014; FY2013</t>
    <phoneticPr fontId="8"/>
  </si>
  <si>
    <t>Registered</t>
    <phoneticPr fontId="8"/>
  </si>
  <si>
    <t>ID012</t>
    <phoneticPr fontId="8"/>
  </si>
  <si>
    <t xml:space="preserve">Utility facility operation optimization technology into Oil factory </t>
    <phoneticPr fontId="8"/>
  </si>
  <si>
    <t>Azbil Corporation</t>
    <phoneticPr fontId="8"/>
  </si>
  <si>
    <t>Utility Facility Operation Optimization Technology</t>
    <phoneticPr fontId="8"/>
  </si>
  <si>
    <t>FY2015; FY2014; FY2013</t>
    <phoneticPr fontId="8"/>
  </si>
  <si>
    <t>Registered</t>
    <phoneticPr fontId="8"/>
  </si>
  <si>
    <t>ID016</t>
    <phoneticPr fontId="8"/>
  </si>
  <si>
    <t>The low carbonization of mobile communication‘s BTS (Base Transceiver Station) by the Introduction of “TRIBRID system"</t>
    <phoneticPr fontId="8"/>
  </si>
  <si>
    <t>KDDI Corp.</t>
    <phoneticPr fontId="8"/>
  </si>
  <si>
    <t>Base Tranceiver Stations (BTS)</t>
    <phoneticPr fontId="8"/>
  </si>
  <si>
    <t>FY2016; FY2015</t>
    <phoneticPr fontId="8"/>
  </si>
  <si>
    <t>5MW Solar Power Project in Belen</t>
  </si>
  <si>
    <t>NTT DATA INSTITUTE OF MANAGEMENT CONSULTING, Inc.</t>
  </si>
  <si>
    <t>ID017</t>
    <phoneticPr fontId="8"/>
  </si>
  <si>
    <t>Introduction of 0.5MW Solar Power System to Aroma and Food Ingredients Factory</t>
  </si>
  <si>
    <t>NextEnergy &amp; Resources CO.,Ltd</t>
  </si>
  <si>
    <t>Renewable energy</t>
    <phoneticPr fontId="8"/>
  </si>
  <si>
    <t>10MW Mini Hydro Power Plant Project in North Sumatra</t>
  </si>
  <si>
    <t xml:space="preserve">Toyo Energy Farm Co., Ltd. </t>
  </si>
  <si>
    <t>Renewable energy</t>
    <phoneticPr fontId="8"/>
  </si>
  <si>
    <t>Withdrawn</t>
    <phoneticPr fontId="8"/>
  </si>
  <si>
    <t>Energy Saving for Air-Conditioning Utility System in the Airport Terminal by High-efficiency Operating System</t>
  </si>
  <si>
    <t>-</t>
    <phoneticPr fontId="8"/>
  </si>
  <si>
    <t>Energy Saving in Industrial Wastewater Treatment System for Rubber Industry</t>
  </si>
  <si>
    <t>Environmental Management &amp; Technology Center</t>
  </si>
  <si>
    <t xml:space="preserve">Wastewater treatment </t>
    <phoneticPr fontId="8"/>
  </si>
  <si>
    <t>ID020</t>
    <phoneticPr fontId="8"/>
  </si>
  <si>
    <t xml:space="preserve">Introduction of High Efficiency Looms in Weaving Mill </t>
  </si>
  <si>
    <t>Nisshinbo Textile Inc.</t>
  </si>
  <si>
    <t>Air jet loom</t>
    <phoneticPr fontId="8"/>
  </si>
  <si>
    <t>Introduction of LED Lighting to Sales Stores</t>
  </si>
  <si>
    <t>Energy efficiency</t>
    <phoneticPr fontId="8"/>
  </si>
  <si>
    <t>Implementation</t>
    <phoneticPr fontId="8"/>
  </si>
  <si>
    <t>Introduction of Once-through Boiler and Fuel Switching to Tequila Plant</t>
  </si>
  <si>
    <t>Suntory Spirits Limited</t>
  </si>
  <si>
    <t>Installing</t>
    <phoneticPr fontId="8"/>
  </si>
  <si>
    <t xml:space="preserve">Introduction of 4.8MW Power Generation with Methane Gas Recovery System </t>
  </si>
  <si>
    <t>Waste management &amp; biomass utilisation</t>
    <phoneticPr fontId="8"/>
  </si>
  <si>
    <t>Methane avoidance</t>
    <phoneticPr fontId="8"/>
  </si>
  <si>
    <t>-</t>
    <phoneticPr fontId="8"/>
  </si>
  <si>
    <t>Installation of 8.3MW Solar Power Plant in Ulaanbaatar suburb Farm</t>
  </si>
  <si>
    <t>Renewable energy</t>
    <phoneticPr fontId="8"/>
  </si>
  <si>
    <t>-</t>
    <phoneticPr fontId="8"/>
  </si>
  <si>
    <t>Introduction of Energy Efficient Refrigeration System in Logistics Center</t>
  </si>
  <si>
    <t>RYOBI HOLDINGS Co., Ltd.</t>
  </si>
  <si>
    <t>Factory refrigeration</t>
  </si>
  <si>
    <t>1.8 MW Rice Husk Power Generation in Rice Mill Factory in Ayeyarwady</t>
  </si>
  <si>
    <t>Waste management &amp; biomass utilisation</t>
    <phoneticPr fontId="8"/>
  </si>
  <si>
    <t>Biomass power generation system</t>
    <phoneticPr fontId="8"/>
  </si>
  <si>
    <t>Introduction of Energy Saving Brewing Systems to Beer Factory</t>
  </si>
  <si>
    <t>Kirin Holdings Company, Ltd.</t>
  </si>
  <si>
    <t xml:space="preserve">Waste heat recovery system </t>
    <phoneticPr fontId="8"/>
  </si>
  <si>
    <t>-</t>
    <phoneticPr fontId="8"/>
  </si>
  <si>
    <t>Introduction of High-efficiency Once-through Boiler in Instant Noodle Factory</t>
  </si>
  <si>
    <t>ACECOOK CO., LTD.</t>
  </si>
  <si>
    <t>Introduction of High-efficiency Boiler System to Rubber Belt Plant</t>
  </si>
  <si>
    <t>BANDO CHEMICAL INDUSTRIES,LTD.</t>
  </si>
  <si>
    <t>-</t>
    <phoneticPr fontId="8"/>
  </si>
  <si>
    <t>Energy Saving by Air-Conditioning Control System in Precision Parts Factories</t>
  </si>
  <si>
    <t>YUASA TRADING CO.,Ltd.</t>
  </si>
  <si>
    <t>Air conditioning</t>
  </si>
  <si>
    <t>Introduction of 27MW Rooftop Solar Power System to Large Supermarkets</t>
  </si>
  <si>
    <t>Introduction of 5MW Floating Solar Power System on Industrial Water Reservoir</t>
  </si>
  <si>
    <t>TSB Co., Ltd.</t>
  </si>
  <si>
    <t>Introduction of Heat Recovery Heat Pumps to Food Processing Factory</t>
  </si>
  <si>
    <t>CPF JAPAN CO.,LTD.</t>
  </si>
  <si>
    <t>Waste management &amp; biomass utilisation</t>
    <phoneticPr fontId="8"/>
  </si>
  <si>
    <t>Registered</t>
    <phoneticPr fontId="8"/>
  </si>
  <si>
    <t>TH006</t>
    <phoneticPr fontId="8"/>
  </si>
  <si>
    <t>Introduction of 12MW Power Generation System by Waste Heat Recovery for Cement Plant</t>
  </si>
  <si>
    <t>Waste management &amp; biomass utilisation</t>
    <phoneticPr fontId="8"/>
  </si>
  <si>
    <t>Introduction of the High Efficiency Chiller and the Exhaust Heat Recovery System</t>
  </si>
  <si>
    <t>Energy efficiency</t>
    <phoneticPr fontId="8"/>
  </si>
  <si>
    <t>Chiller; Waste heat recovery system</t>
    <phoneticPr fontId="8"/>
  </si>
  <si>
    <t>Introduction of Co-generation System to Motor Parts Factory</t>
  </si>
  <si>
    <t>Denso Corporation</t>
  </si>
  <si>
    <t>Energy efficiency</t>
    <phoneticPr fontId="8"/>
  </si>
  <si>
    <t>Introduction of Energy Efficient Refrigeration System in Industrial Cold Storage</t>
  </si>
  <si>
    <t>Kanematsu Corp.</t>
  </si>
  <si>
    <t>Refrigerator</t>
    <phoneticPr fontId="8"/>
  </si>
  <si>
    <t>KYOWA HAKKO BIO CO. LTD.</t>
  </si>
  <si>
    <t>Evaporator; Refrigerator</t>
    <phoneticPr fontId="8"/>
  </si>
  <si>
    <t>Introduction of 2MW Rooftop Solar Power System for Power Supply in Factory</t>
    <phoneticPr fontId="8"/>
  </si>
  <si>
    <t>Finetech Co., Ltd.</t>
  </si>
  <si>
    <t>Registered</t>
    <phoneticPr fontId="8"/>
  </si>
  <si>
    <t>TH005</t>
    <phoneticPr fontId="8"/>
  </si>
  <si>
    <t>Introduction of 3.4MW Rooftop Solar Power System to Air-conditioning Parts Factories</t>
  </si>
  <si>
    <t>Renewable energy</t>
    <phoneticPr fontId="8"/>
  </si>
  <si>
    <t>Introduction of High Efficiency Chilled Water Supply System in Milk Factory</t>
  </si>
  <si>
    <t>TEPIA Corporation Japan Co., Ltd.</t>
  </si>
  <si>
    <t>LED lighting</t>
    <phoneticPr fontId="8"/>
  </si>
  <si>
    <t xml:space="preserve">Introduction of High Efficiency Ion Exchange Membrane Electrolyzer in Caustic Soda Production Plant </t>
  </si>
  <si>
    <t>Asahi Glass Co., Ltd.</t>
  </si>
  <si>
    <t xml:space="preserve">Electrolyzer </t>
    <phoneticPr fontId="8"/>
  </si>
  <si>
    <t>VN013</t>
    <phoneticPr fontId="8"/>
  </si>
  <si>
    <t>Introduction of Amorphous High Efficiency Transformer in Northern, Central and Southern Power Grids</t>
  </si>
  <si>
    <t>Yuko Keiso Co., Ltd.</t>
  </si>
  <si>
    <t>Transformers</t>
    <phoneticPr fontId="8"/>
  </si>
  <si>
    <t>VN014</t>
    <phoneticPr fontId="8"/>
  </si>
  <si>
    <t xml:space="preserve">Introduction of Energy Saving Equipment to Automotive Wire Production Factory </t>
  </si>
  <si>
    <t>Viet Nam</t>
    <phoneticPr fontId="8"/>
  </si>
  <si>
    <t>YAZAKI PARTS CO., LTD.</t>
  </si>
  <si>
    <t>Wire stranding machines</t>
    <phoneticPr fontId="8"/>
  </si>
  <si>
    <t>Registered</t>
    <phoneticPr fontId="8"/>
  </si>
  <si>
    <t>VN011</t>
    <phoneticPr fontId="8"/>
  </si>
  <si>
    <t>Installation of Energy Saving Equipment in Lens Factory</t>
  </si>
  <si>
    <t xml:space="preserve">HOYA CORP. </t>
  </si>
  <si>
    <t xml:space="preserve">Electrolyzer </t>
    <phoneticPr fontId="8"/>
  </si>
  <si>
    <t>Introduction of 4.75MW Power Generation System by Waste Heat Recovery for Cement Plant</t>
  </si>
  <si>
    <t>Viet Nam</t>
    <phoneticPr fontId="8"/>
  </si>
  <si>
    <t>Waste management &amp; biomass utilisation</t>
    <phoneticPr fontId="8"/>
  </si>
  <si>
    <t>-</t>
    <phoneticPr fontId="8"/>
  </si>
  <si>
    <t>VN012</t>
    <phoneticPr fontId="8"/>
  </si>
  <si>
    <t>Introduction of High Efficiency Water Pumps in Da Nang City</t>
  </si>
  <si>
    <t>Viet Nam</t>
    <phoneticPr fontId="8"/>
  </si>
  <si>
    <t>Water Pump</t>
    <phoneticPr fontId="8"/>
  </si>
  <si>
    <t>REDD+ project in Boalemo District</t>
  </si>
  <si>
    <t>LULUCF/REDD+</t>
  </si>
  <si>
    <t>FY2016; FY2015</t>
    <phoneticPr fontId="8"/>
  </si>
  <si>
    <t>2016/6/23; 2015/8/6</t>
    <phoneticPr fontId="8"/>
  </si>
  <si>
    <t>50MW Solar PV Power Plant Project</t>
  </si>
  <si>
    <t>PACIFIC CONSULTANTS CO.,LTD.</t>
  </si>
  <si>
    <t>Solar photovoltaic (PV) system; Solar power plant</t>
    <phoneticPr fontId="8"/>
  </si>
  <si>
    <t>FY2015</t>
  </si>
  <si>
    <t>KH001</t>
    <phoneticPr fontId="8"/>
  </si>
  <si>
    <t>Introduction of Ultra-lightweight Solar Panels for Power Generation at International School</t>
  </si>
  <si>
    <t>Asia Gateway Corporation</t>
  </si>
  <si>
    <t>Registered</t>
    <phoneticPr fontId="8"/>
  </si>
  <si>
    <t>ID018</t>
    <phoneticPr fontId="8"/>
  </si>
  <si>
    <t>1.6MW Solar PV Power Plant Project in Jakabaring Sport City</t>
  </si>
  <si>
    <t>Renewable energy</t>
    <phoneticPr fontId="8"/>
  </si>
  <si>
    <t>Withdrawn</t>
    <phoneticPr fontId="8"/>
  </si>
  <si>
    <t>6MW Small Hydropower Generation Project in Rupingazi</t>
    <phoneticPr fontId="8"/>
  </si>
  <si>
    <t>Renewable energy</t>
    <phoneticPr fontId="8"/>
  </si>
  <si>
    <t>Hydropower plant</t>
    <phoneticPr fontId="8"/>
  </si>
  <si>
    <t>Introduction of Solar PV System at Salt Factory</t>
  </si>
  <si>
    <t>MN004</t>
    <phoneticPr fontId="8"/>
  </si>
  <si>
    <t>BD002</t>
    <phoneticPr fontId="8"/>
  </si>
  <si>
    <t>Installation of High Efficiency Centrifugal Chiller for Air Conditioning System in Clothing Tag Factory</t>
  </si>
  <si>
    <t>MN003</t>
    <phoneticPr fontId="8"/>
  </si>
  <si>
    <t>Installation of 2.1MW Solar Power Plant for Power Supply in Ulaanbaatar Suburb</t>
  </si>
  <si>
    <t>Solar photovoltaic (PV) system; Solar power plant</t>
    <phoneticPr fontId="8"/>
  </si>
  <si>
    <t>ID022</t>
    <phoneticPr fontId="8"/>
  </si>
  <si>
    <t>Introduction of High Efficiency Once-through Boiler in Golf Ball Factory</t>
  </si>
  <si>
    <t>Sumitomo Rubber Industries, Ltd.</t>
  </si>
  <si>
    <t>SA001</t>
    <phoneticPr fontId="8"/>
  </si>
  <si>
    <t>Introduction of High Efficiency Electrolyzer in Chlorine Production Plant</t>
  </si>
  <si>
    <t>KANEMATSU CORPORATON</t>
  </si>
  <si>
    <t>Electrolyzer</t>
  </si>
  <si>
    <t>Registered</t>
    <phoneticPr fontId="8"/>
  </si>
  <si>
    <t>TH003</t>
    <phoneticPr fontId="8"/>
  </si>
  <si>
    <t>Sony Semiconductor Corporation</t>
  </si>
  <si>
    <t>Air conditioning systems; Chillers</t>
    <phoneticPr fontId="8"/>
  </si>
  <si>
    <t>Energy Saving for Air-Conditioning in Tire Manufacturing Factory with High Efficiency Centrifugal Chiller</t>
  </si>
  <si>
    <t>Inabata &amp; Co., Ltd</t>
  </si>
  <si>
    <t>Energy Saving in Factories with Air-Conditioning Control System</t>
  </si>
  <si>
    <t>VN008</t>
    <phoneticPr fontId="8"/>
  </si>
  <si>
    <t>Introduction of Amorphous High Efficiency Transformers in Southern and Central Power Grids</t>
    <phoneticPr fontId="8"/>
  </si>
  <si>
    <t>Yuko Keiso Co., Ltd.</t>
    <phoneticPr fontId="8"/>
  </si>
  <si>
    <t>Transformers</t>
  </si>
  <si>
    <t>Installation of High Efficiency Kiln in Sanitary Ware Manufacturing Factory</t>
    <phoneticPr fontId="8"/>
  </si>
  <si>
    <t>TOTO LTD.</t>
  </si>
  <si>
    <t>Kiln</t>
  </si>
  <si>
    <t>Introduction of High Efficiency Electric Furnace at Foundries</t>
  </si>
  <si>
    <t>Furnace</t>
  </si>
  <si>
    <t>-</t>
    <phoneticPr fontId="8"/>
  </si>
  <si>
    <t>VN007</t>
    <phoneticPr fontId="8"/>
  </si>
  <si>
    <t>Introduction of Solar PV System at Shopping Mall in Ho Chi Minh City</t>
  </si>
  <si>
    <t>AEON RETAIL Co., Ltd.</t>
  </si>
  <si>
    <t>Withdrawn</t>
    <phoneticPr fontId="8"/>
  </si>
  <si>
    <t>-</t>
    <phoneticPr fontId="8"/>
  </si>
  <si>
    <t>Introduction of Biomass CHP Plant in Flooring Factory</t>
  </si>
  <si>
    <t>Pacific Consultants Co.,Ltd.,  African Bamboo PLC</t>
  </si>
  <si>
    <t>Waste management &amp; biomass utilisation</t>
    <phoneticPr fontId="8"/>
  </si>
  <si>
    <t>Biomass power plant</t>
    <phoneticPr fontId="8"/>
  </si>
  <si>
    <t>Installation of Co-Generation Plant for On-Site Energy Supply in Motorcycle Factory</t>
  </si>
  <si>
    <t>NIPPON STEEL &amp; SUMIKIN ENGINEERING CO., LTD., NS Plant Designing Corporation, NS-OG Energy Solutions (Thailand) Ltd.</t>
  </si>
  <si>
    <t>Energy efficiency</t>
    <phoneticPr fontId="8"/>
  </si>
  <si>
    <t>ID019</t>
    <phoneticPr fontId="8"/>
  </si>
  <si>
    <t>Installation of Gas Co-generation System for Automobile Manufacturing Plant</t>
  </si>
  <si>
    <t>Toyota Tsusho Corp., Toyota Motor Manufacturing Indonesia (TMMIN)</t>
  </si>
  <si>
    <t>Energy efficiency</t>
    <phoneticPr fontId="8"/>
  </si>
  <si>
    <t>VN010</t>
    <phoneticPr fontId="8"/>
  </si>
  <si>
    <t>Energy Saving in Acid Lead Battery Factory with Container Formation Facility</t>
  </si>
  <si>
    <t xml:space="preserve">Hitachi Chemical Company, Ltd. </t>
  </si>
  <si>
    <t>Energy-efficient equipment</t>
  </si>
  <si>
    <t>BD004</t>
    <phoneticPr fontId="8"/>
  </si>
  <si>
    <t>Introduction of PV-diesel Hybrid System at Fastening Manufacturing Plant</t>
  </si>
  <si>
    <t>Ykk Corporation, YKK Bangladesh Pte Ltd.</t>
  </si>
  <si>
    <t>PV-diesel hybrid</t>
  </si>
  <si>
    <t>BD003</t>
    <phoneticPr fontId="8"/>
  </si>
  <si>
    <t>Installation of High Efficiency Loom at Weaving Factory</t>
  </si>
  <si>
    <t>Toyota Tsusho Corporation, Hamid Fabrics Limited</t>
  </si>
  <si>
    <t>Loom</t>
  </si>
  <si>
    <t>Introduction of High Efficiency LED Lighting Utilizing Wireless Network</t>
    <phoneticPr fontId="8"/>
  </si>
  <si>
    <t>Minebea Co., Ltd., Shukaku Inc. / Overseas Cambodian Investment Corporation / Siem Reap Provincial Hall / APSARA</t>
  </si>
  <si>
    <t>LED lighting</t>
    <phoneticPr fontId="8"/>
  </si>
  <si>
    <t>ID009</t>
    <phoneticPr fontId="8"/>
  </si>
  <si>
    <t>Ntt Facilities, Inc., PT.PAKUWON JATI Tbk</t>
  </si>
  <si>
    <t>Energy Saving for Industrial Park with Smart LED Street Lighting System</t>
  </si>
  <si>
    <t>Ntt Facilities, Inc., PT. MALIGI PERMATA INDUSTRIAL ESTATE / PT. HARAPAN ANANG BAKRI &amp; SONS / PT. KARAWANG TATABINA INDUSTRIAL ESTATE</t>
  </si>
  <si>
    <t>ID021</t>
    <phoneticPr fontId="8"/>
  </si>
  <si>
    <t>Introduction of High Efficiency Once-through Boiler System in Film Factory</t>
  </si>
  <si>
    <t>Mitsubishi Chemical Corporation, PT. MC Pet Film Indonesia</t>
  </si>
  <si>
    <t>Introduction of Waste to Energy Plant in Yangon City</t>
  </si>
  <si>
    <t>JFE Engineering Corporation, Yangon City Development Committee</t>
  </si>
  <si>
    <t>Waste-to-energy</t>
  </si>
  <si>
    <t>Energy Saving at Convenience Stores with High Efficiency Air-Conditioning and Refrigerated Showcase</t>
  </si>
  <si>
    <t>FamilyMart Co.,Ltd., Central FamilyMart Co., Ltd.</t>
  </si>
  <si>
    <t>Energy Saving by Utilizing Waste Heat at Hotel</t>
  </si>
  <si>
    <t>Waste management &amp; biomass utilisation</t>
    <phoneticPr fontId="8"/>
  </si>
  <si>
    <t>Energy Saving for Office Building with High Efficiency Water Cooled Air-Conditioning Unit</t>
  </si>
  <si>
    <t>Ntt Facilities, Inc.</t>
  </si>
  <si>
    <t>TH002</t>
    <phoneticPr fontId="8"/>
  </si>
  <si>
    <t>Reducing GHG Emission at Textile Factory by Upgrading to Air-saving Loom (Samutprakarn)</t>
  </si>
  <si>
    <t>Installation of Cogeneration System in Hotel</t>
  </si>
  <si>
    <t>Ntt Data Institute Of Management Consulting, Inc.</t>
  </si>
  <si>
    <t>Co-generation system</t>
    <phoneticPr fontId="8"/>
  </si>
  <si>
    <t>TH004</t>
    <phoneticPr fontId="8"/>
  </si>
  <si>
    <t>VN005</t>
    <phoneticPr fontId="8"/>
  </si>
  <si>
    <t>Viet Nam</t>
    <phoneticPr fontId="8"/>
  </si>
  <si>
    <t>Ntt Data Institute of Management Consulting,Inc., Peace Real Estate Investment Company Limited</t>
  </si>
  <si>
    <t>VN009</t>
    <phoneticPr fontId="8"/>
  </si>
  <si>
    <t>Energy Saving in Lens Factory with Energy Efficient Air-Conditioners</t>
  </si>
  <si>
    <t>Ricoh Company Ltd., RICOH IMAGING PRODUCTS (Vietnam) CO., LTD.</t>
    <phoneticPr fontId="8"/>
  </si>
  <si>
    <t>Domo de San Pedro II Geothermal Power Generation</t>
  </si>
  <si>
    <t>Mitsubishi Hitachi Power Systems,Ltd.</t>
  </si>
  <si>
    <t>Renewable energy</t>
    <phoneticPr fontId="8"/>
  </si>
  <si>
    <t>Geothermal power generation</t>
    <phoneticPr fontId="8"/>
  </si>
  <si>
    <t>Energy Saving by Converting from Hg-Cell Process to Ion-exchange Membrane Process at Chlorine Production Plant</t>
  </si>
  <si>
    <t>ThyssenKrupp Uhde Chlorine Engineers (Japan) Ltd.</t>
  </si>
  <si>
    <t>-</t>
    <phoneticPr fontId="8"/>
  </si>
  <si>
    <t>TH001</t>
    <phoneticPr fontId="8"/>
  </si>
  <si>
    <t>Introduction of Solar PV System on Factory Rooftop</t>
  </si>
  <si>
    <t>Pacific Consultants Co.,Ltd.</t>
  </si>
  <si>
    <t>Renewable energy</t>
    <phoneticPr fontId="8"/>
  </si>
  <si>
    <t>Thin-Film solar power plant</t>
    <phoneticPr fontId="8"/>
  </si>
  <si>
    <t>Solar photovoltaic (PV) system; Solar power plant</t>
    <phoneticPr fontId="8"/>
  </si>
  <si>
    <t>FY2015; FY2014; FY2013</t>
    <phoneticPr fontId="8"/>
  </si>
  <si>
    <t>VN003</t>
    <phoneticPr fontId="8"/>
  </si>
  <si>
    <t>Energy saving by BEMS optimum operation at Hotel</t>
    <phoneticPr fontId="8"/>
  </si>
  <si>
    <t>Hochiminh City University of Natural Resources and Environment (HCMUNRE), Hibiya Engineering, Ltd., Mitsubishi UFJ Morgan Stanley Securities Co., Ltd.</t>
  </si>
  <si>
    <t>Utility Facility Operation Optimization Technology</t>
    <phoneticPr fontId="8"/>
  </si>
  <si>
    <t>FY2015; FY2014; FY2013</t>
    <phoneticPr fontId="8"/>
  </si>
  <si>
    <t>VN002</t>
    <phoneticPr fontId="8"/>
  </si>
  <si>
    <t>Energy saving by inverter air conditioner optimum operation at National Hospital</t>
    <phoneticPr fontId="8"/>
  </si>
  <si>
    <t>Mitsubishi Electric Corporation, Mitsubishi Corporation, Mitsubishi UFJ Morgan Stanley Securities Co., Ltd., Energy Conservation Center Ho Chi Minh City (ECC)</t>
  </si>
  <si>
    <t>Air conditioning systems</t>
    <phoneticPr fontId="8"/>
  </si>
  <si>
    <t>FY2015; FY2014; FY2013</t>
    <phoneticPr fontId="8"/>
  </si>
  <si>
    <t>Withdrawn</t>
    <phoneticPr fontId="8"/>
  </si>
  <si>
    <t>REDD+ in Prey Long Area and Seima Area</t>
  </si>
  <si>
    <t>Conservation International Japan; Asia Air Survey</t>
    <phoneticPr fontId="8"/>
  </si>
  <si>
    <t>FY2014</t>
  </si>
  <si>
    <t>Smart Micro-Grid System for POISED Project in Addu Atoll</t>
    <phoneticPr fontId="8"/>
  </si>
  <si>
    <t>Renewable energy</t>
    <phoneticPr fontId="8"/>
  </si>
  <si>
    <t>Solar photovoltaic (PV) system</t>
    <phoneticPr fontId="8"/>
  </si>
  <si>
    <t>PW003</t>
    <phoneticPr fontId="8"/>
  </si>
  <si>
    <t>Small-Scale Solar Power Plants for Commercial Facilities Project II</t>
  </si>
  <si>
    <t>Pacific Consultants Co.,Ltd., Western Caroline Trading Company, NECO Yamaha Corporation, Palau Investment and Development Company</t>
  </si>
  <si>
    <t>Registered</t>
    <phoneticPr fontId="8"/>
  </si>
  <si>
    <t>PW002</t>
    <phoneticPr fontId="8"/>
  </si>
  <si>
    <t>Solar PV System for Schools Project</t>
  </si>
  <si>
    <t>Pacific Consultants Co.,Ltd., Palau Adventist Schools</t>
  </si>
  <si>
    <t>Installation of Solar Power System and Storage Battery to Commercial Facility</t>
  </si>
  <si>
    <t>Itochu Corporation, PT. Aeon Mall Indonesia</t>
  </si>
  <si>
    <t>ID011</t>
    <phoneticPr fontId="8"/>
  </si>
  <si>
    <t>Introduction of high efficient Old Corrugated Cartons Process at Paper Factory</t>
  </si>
  <si>
    <t>Kanematsu Corp., PT Fajar Surya Wisesa Tbk.</t>
    <phoneticPr fontId="8"/>
  </si>
  <si>
    <t>Old corrugated carton process</t>
  </si>
  <si>
    <t>ID015</t>
    <phoneticPr fontId="8"/>
  </si>
  <si>
    <t>Toray Industries, Inc.,  P.T. Indonesia Synthetic Textile Milles (ISTEM)／ P.T. Easterntex, P.T. Century Textile Industry Tbk (CENTEX)／P.T. Toray Industries Indonesia (TIN)</t>
  </si>
  <si>
    <t>Solar Diesel Abatement Project</t>
  </si>
  <si>
    <t>Ingerosec Corp., NVI Energy (Kenya) Ltd., Cheli &amp; Peacok Management Ltd., Borana Ranch Ltd.</t>
  </si>
  <si>
    <t>PV power generation system for the office building</t>
  </si>
  <si>
    <t>Malaysia</t>
  </si>
  <si>
    <t>NTT DATA Institute Of Management Consulting, Inc., KEN TTDI SDN BHD</t>
  </si>
  <si>
    <t>Solar PV</t>
  </si>
  <si>
    <t>VN004</t>
    <phoneticPr fontId="8"/>
  </si>
  <si>
    <t>Introduction of Amorphous high efficiency transformers in power distribution systems</t>
  </si>
  <si>
    <t>Yuko Keiso Co., Ltd., EVN Southern Power Corporation</t>
  </si>
  <si>
    <t>Implementation</t>
    <phoneticPr fontId="8"/>
  </si>
  <si>
    <t>Energy Saving for Air Conditioning &amp; Facility Cooling by High Efficiency Centrifugal Chiller (Suburbs of Dhaka)</t>
  </si>
  <si>
    <t>Ebara Refrigeration Equipment &amp; Systems Co., Ltd.</t>
  </si>
  <si>
    <t>Air conditioning systems; Chillers</t>
    <phoneticPr fontId="8"/>
  </si>
  <si>
    <t>MV001</t>
    <phoneticPr fontId="8"/>
  </si>
  <si>
    <t>School Building Rooftop Solar Power Plant Project</t>
  </si>
  <si>
    <t>Pacific Consultants Co., Ltd., InterAct Inc.</t>
  </si>
  <si>
    <t>Solar Power Hybrid System Installation to Existing Base Transceiver Stations in Off-grid Area (50 sites)</t>
    <phoneticPr fontId="8"/>
  </si>
  <si>
    <t>PT. Telekomunikasi Selular, ITOCHU Corporation</t>
  </si>
  <si>
    <t>ID013</t>
    <phoneticPr fontId="8"/>
  </si>
  <si>
    <t>Power Generation by Waste-heat Recovery in Cement Industry</t>
  </si>
  <si>
    <t>JFE Engineering Corp., PT Semen Indonesia (Persero) Tbk</t>
  </si>
  <si>
    <t>Waste management &amp; biomass utilisation</t>
    <phoneticPr fontId="8"/>
  </si>
  <si>
    <t>Chiller; Waste heat recovery system</t>
    <phoneticPr fontId="8"/>
  </si>
  <si>
    <t>Energy Saving through Introduction of Regenerative Burners to the Aluminum Holding Furnace of the Automotive Components Manufacturer</t>
  </si>
  <si>
    <t>TOYOTSU MACHINERY CORPORATION, HOKURIKU TECHNO CO., LTD., PT. TOYOTA TSUSHO INDONESIA, PT. YAMAHA MOTOR PARTS MANUFACTURING INDONESIA (YPMI), PT. MATAHARI WASISO TAMA</t>
  </si>
  <si>
    <t>VN001</t>
    <phoneticPr fontId="8"/>
  </si>
  <si>
    <t>Eco-driving by Utilizing Digital Tachograph System</t>
  </si>
  <si>
    <t>Nippon Express Co., Ltd., NIPPON EXPRESS (VIETNAM)</t>
  </si>
  <si>
    <t>Digital tachograph</t>
  </si>
  <si>
    <t>Registered</t>
    <phoneticPr fontId="8"/>
  </si>
  <si>
    <t>ID004</t>
    <phoneticPr fontId="8"/>
  </si>
  <si>
    <t>Energy Saving for Textile Factory Facility Cooling by High-efficiency Centrifugal Chiller</t>
  </si>
  <si>
    <t>Ebara Refrigeration Equipment &amp; Systems Co., Ltd., PT. Nikawa Textile Industry PT. Ebara Indonesia</t>
  </si>
  <si>
    <t>-</t>
    <phoneticPr fontId="8"/>
  </si>
  <si>
    <t>Anaerobic Digestion of Organic Waste for Biogas Utilization at Market</t>
  </si>
  <si>
    <t>Hitachi Zosen Corporation, K.K. Satisfactory International, Saigon Trading Group</t>
  </si>
  <si>
    <t>Biogas</t>
  </si>
  <si>
    <t>Withdrawn</t>
    <phoneticPr fontId="8"/>
  </si>
  <si>
    <t>Improvement of REDD+ Implementation Using IC Technology</t>
  </si>
  <si>
    <t>Mitsubishi Research Institute, Inc.</t>
  </si>
  <si>
    <t>FY2014</t>
    <phoneticPr fontId="8"/>
  </si>
  <si>
    <t>REDD+ with Livelihood Development and Biomass-based Power Generation</t>
  </si>
  <si>
    <t>Sumitomo Forestry Co., Ltd.</t>
  </si>
  <si>
    <t>FY2013</t>
  </si>
  <si>
    <t>3.05-6.97M</t>
    <phoneticPr fontId="8"/>
  </si>
  <si>
    <t>PW001</t>
    <phoneticPr fontId="8"/>
  </si>
  <si>
    <t>Small-Scale Solar Power Plant for Commercial Facilities in Island States</t>
  </si>
  <si>
    <t>Small-scale Biomass Power Generation by Using Stirling Engines</t>
  </si>
  <si>
    <t>Promaterials inc.</t>
  </si>
  <si>
    <t>Waste management &amp; biomass utilisation</t>
    <phoneticPr fontId="8"/>
  </si>
  <si>
    <t>Biomass power plant</t>
    <phoneticPr fontId="8"/>
  </si>
  <si>
    <t>ID001</t>
    <phoneticPr fontId="8"/>
  </si>
  <si>
    <t>Energy Saving for Air-Conditioning and Process Cooling at Textile Factory (Project site 1)</t>
    <phoneticPr fontId="8"/>
  </si>
  <si>
    <t>Chiller: centrifugal chiller</t>
  </si>
  <si>
    <t>ID005</t>
    <phoneticPr fontId="8"/>
  </si>
  <si>
    <t>Energy Saving for Air-Conditioning and Process Cooling at Textile Factory (Project site 2)</t>
    <phoneticPr fontId="8"/>
  </si>
  <si>
    <t>MN001, MN002</t>
    <phoneticPr fontId="8"/>
  </si>
  <si>
    <t>Upgrading and Installation of Centralized Control System of High-efficiency Heat Only Boiler (HOB)</t>
  </si>
  <si>
    <t>SUURI-KEIKAKU Co., Ltd.</t>
  </si>
  <si>
    <t>ID008</t>
    <phoneticPr fontId="8"/>
  </si>
  <si>
    <t>Energy Saving by Installation of Double Bundle-type Heat Pump</t>
  </si>
  <si>
    <t>ID006</t>
    <phoneticPr fontId="8"/>
  </si>
  <si>
    <t>Energy Savings at Convenience Stores</t>
  </si>
  <si>
    <t>Lawson</t>
  </si>
  <si>
    <t>ID002. ID003</t>
    <phoneticPr fontId="8"/>
  </si>
  <si>
    <t>Energy Efficient Refrigerants to Cold Chain Industry</t>
  </si>
  <si>
    <t>Mayekawa Mfg. Co., Ltd.</t>
  </si>
  <si>
    <t>Brick Production based on Non-Firing Solidification Technology</t>
  </si>
  <si>
    <t>Tepia Corp. Japan, Kamei Seito, Alcedo, Kamei Ceramics Bangladesh</t>
  </si>
  <si>
    <t>Integrated Energy Efficiency Improvement at Beer Factory</t>
    <phoneticPr fontId="8"/>
  </si>
  <si>
    <t>Viet Nam</t>
    <phoneticPr fontId="8"/>
  </si>
  <si>
    <t>Renova, Inc.</t>
  </si>
  <si>
    <t>Energy Efficient NH3 Heat Pumps to Marine Products Processing Industry</t>
    <phoneticPr fontId="8"/>
  </si>
  <si>
    <t>Financed Projects - Summary and Charts</t>
    <phoneticPr fontId="8"/>
  </si>
  <si>
    <t>Table 1. Number of Active JCM Financed Project by Fiscal Year</t>
    <phoneticPr fontId="8"/>
  </si>
  <si>
    <t>Host country</t>
  </si>
  <si>
    <t>FY2017</t>
    <phoneticPr fontId="8"/>
  </si>
  <si>
    <t>FY2019</t>
    <phoneticPr fontId="8"/>
  </si>
  <si>
    <t>registered projects</t>
    <phoneticPr fontId="8"/>
  </si>
  <si>
    <t>Estimated GHG ER (tCO2/year)</t>
  </si>
  <si>
    <t>Chart 1. Number of Active JCM Financed Project by Fiscal Year</t>
    <phoneticPr fontId="8"/>
  </si>
  <si>
    <t>Table 2. Number of Active JCM Financed Project by Type of Project</t>
    <phoneticPr fontId="8"/>
  </si>
  <si>
    <t>F-gas recovery and destruction</t>
    <phoneticPr fontId="8"/>
  </si>
  <si>
    <t>LULUCF/REDD+</t>
    <phoneticPr fontId="8"/>
  </si>
  <si>
    <t>Chart 2. Number of Active JCM Financed Project by Type of Project and Country</t>
    <phoneticPr fontId="8"/>
  </si>
  <si>
    <t>IGES JCM Database - Additional information</t>
  </si>
  <si>
    <t>JCM Sectoral Scope</t>
  </si>
  <si>
    <t xml:space="preserve">Co-generation </t>
  </si>
  <si>
    <t>Non-biomass</t>
    <phoneticPr fontId="8"/>
  </si>
  <si>
    <t>Energy industries (renewable – / non-renewable sources)</t>
  </si>
  <si>
    <t xml:space="preserve">Energy efficiency </t>
  </si>
  <si>
    <t>Academic institution(s)</t>
    <phoneticPr fontId="44"/>
  </si>
  <si>
    <t>Energy distribution</t>
  </si>
  <si>
    <t xml:space="preserve">Energy efficiency </t>
    <phoneticPr fontId="44"/>
  </si>
  <si>
    <t>Air conditioning control system</t>
    <phoneticPr fontId="44"/>
  </si>
  <si>
    <t>Energy demand</t>
  </si>
  <si>
    <t>Central government official(s)</t>
    <phoneticPr fontId="44"/>
  </si>
  <si>
    <t>Manufacturing industries</t>
  </si>
  <si>
    <t>Company employee(s)</t>
    <phoneticPr fontId="8"/>
  </si>
  <si>
    <t>Company employee(s)</t>
    <phoneticPr fontId="44"/>
  </si>
  <si>
    <t>Chemical industry</t>
  </si>
  <si>
    <t>Company management(s)</t>
    <phoneticPr fontId="8"/>
  </si>
  <si>
    <t>Construction</t>
  </si>
  <si>
    <t>Non-renewable biomass</t>
  </si>
  <si>
    <t>Consultant(s)</t>
    <phoneticPr fontId="44"/>
  </si>
  <si>
    <t>Transport</t>
  </si>
  <si>
    <t>PFC reduction and substitution</t>
  </si>
  <si>
    <t>Batteries</t>
    <phoneticPr fontId="44"/>
  </si>
  <si>
    <t>Mining/Mineral production</t>
  </si>
  <si>
    <t>SF6 replacement</t>
  </si>
  <si>
    <t>Battery Case Forming Device</t>
    <phoneticPr fontId="44"/>
  </si>
  <si>
    <t>International organisation(s)</t>
    <phoneticPr fontId="8"/>
  </si>
  <si>
    <t>Metal production</t>
  </si>
  <si>
    <t>Leak reduction</t>
  </si>
  <si>
    <t>Boiler</t>
    <phoneticPr fontId="8"/>
  </si>
  <si>
    <t>Boiler</t>
    <phoneticPr fontId="44"/>
  </si>
  <si>
    <t>Fugitive emissions from fuels (solid, oil and gas)</t>
  </si>
  <si>
    <t>Chiller</t>
    <phoneticPr fontId="44"/>
  </si>
  <si>
    <t>Fugitive emissions from production and consumption of halocarbons and sulphur hexafluoride</t>
  </si>
  <si>
    <t>Solvents use</t>
  </si>
  <si>
    <t>Forest fire prevention</t>
  </si>
  <si>
    <t>Waste handling and disposal</t>
  </si>
  <si>
    <t>Hydropower</t>
    <phoneticPr fontId="8"/>
  </si>
  <si>
    <t>Data centre</t>
    <phoneticPr fontId="44"/>
  </si>
  <si>
    <t>Neighboring citizen(s)</t>
    <phoneticPr fontId="44"/>
  </si>
  <si>
    <t>Reducing Emissions from Deforestation and Forest Degradation in developing countries; and the role of conservation, sustainable management of forests and enhancement of forest carbon stocks in developing countries (REDD-plus); Afforestation and Reforestation</t>
  </si>
  <si>
    <t>Geothermal power</t>
  </si>
  <si>
    <t>Displacement ventilation system</t>
    <phoneticPr fontId="44"/>
  </si>
  <si>
    <t>Distillation system</t>
    <phoneticPr fontId="8"/>
  </si>
  <si>
    <t>Related company(ies)</t>
    <phoneticPr fontId="8"/>
  </si>
  <si>
    <t>Related company(ies)</t>
    <phoneticPr fontId="44"/>
  </si>
  <si>
    <t>Agriculture</t>
  </si>
  <si>
    <t>Distributed Control System (DCS)</t>
    <phoneticPr fontId="8"/>
  </si>
  <si>
    <t>Thermal power</t>
  </si>
  <si>
    <t>Double bundle-type heat pump</t>
    <phoneticPr fontId="44"/>
  </si>
  <si>
    <t>Tidal power</t>
  </si>
  <si>
    <t>Electricity distribution grid</t>
    <phoneticPr fontId="44"/>
  </si>
  <si>
    <t>Wind power</t>
  </si>
  <si>
    <t xml:space="preserve">Electrolyzer </t>
    <phoneticPr fontId="8"/>
  </si>
  <si>
    <t xml:space="preserve">Electrolyzer </t>
    <phoneticPr fontId="44"/>
  </si>
  <si>
    <t>Bus Rapid Transit (BRTs), Mass Rapid Transit (MRTs)</t>
  </si>
  <si>
    <t>Fridge and freezer showcase</t>
    <phoneticPr fontId="44"/>
  </si>
  <si>
    <t>PFC reduction and substitution -</t>
    <phoneticPr fontId="8"/>
  </si>
  <si>
    <t>SF6 replacement -</t>
  </si>
  <si>
    <t>Heat pump</t>
    <phoneticPr fontId="8"/>
  </si>
  <si>
    <t>Heat pump</t>
    <phoneticPr fontId="44"/>
  </si>
  <si>
    <t>Fuel switch Fuel switch to natural gas</t>
  </si>
  <si>
    <t>Injection molding machines</t>
    <phoneticPr fontId="8"/>
  </si>
  <si>
    <t>Fuel switch Biomass</t>
  </si>
  <si>
    <t>LED lighting</t>
    <phoneticPr fontId="44"/>
  </si>
  <si>
    <t>Fuel switch Others</t>
  </si>
  <si>
    <t>LED Street Lighting with Dimming System</t>
    <phoneticPr fontId="44"/>
  </si>
  <si>
    <t>Old corrugated carton processing system(methodology)</t>
    <phoneticPr fontId="44"/>
  </si>
  <si>
    <t>BFG (Blast Furnace Gas), LDG, COG (Coke Oven Gas), Waste gas from Direct Reduction Iron (DRI) kiln, Cement production line, COG (CDQ), Electric arc furnace gas, Oilfield associated gas, Smelter Furnace, Carbon black production line, Submerged Arc Ferrochrome (SAF) furnace</t>
  </si>
  <si>
    <t>Old corrugated carton processing system(project)</t>
    <phoneticPr fontId="44"/>
  </si>
  <si>
    <t>HFC reduction/avoidance</t>
  </si>
  <si>
    <t>Power generation by waste heat recovery</t>
    <phoneticPr fontId="8"/>
  </si>
  <si>
    <t>Power generation by waste heat recovery</t>
    <phoneticPr fontId="44"/>
  </si>
  <si>
    <t>Fuel switch to natural gas</t>
  </si>
  <si>
    <t>Refrigerator</t>
    <phoneticPr fontId="44"/>
  </si>
  <si>
    <t>Biogas Wastewater treatment</t>
  </si>
  <si>
    <t>Regenerative burners</t>
    <phoneticPr fontId="44"/>
  </si>
  <si>
    <t>Biogas Non-renewable biomass</t>
  </si>
  <si>
    <t>Storage battery</t>
    <phoneticPr fontId="8"/>
  </si>
  <si>
    <t>Biogas Household</t>
  </si>
  <si>
    <t>Transformer</t>
    <phoneticPr fontId="44"/>
  </si>
  <si>
    <t>Biogas Others</t>
  </si>
  <si>
    <t xml:space="preserve">Transmission and Distribution line system </t>
    <phoneticPr fontId="44"/>
  </si>
  <si>
    <t>Methane avoidance Composting</t>
  </si>
  <si>
    <t>Transmission line</t>
    <phoneticPr fontId="44"/>
  </si>
  <si>
    <t>Methane avoidance Waste incineration</t>
    <phoneticPr fontId="8"/>
  </si>
  <si>
    <t>Tribrid system</t>
    <phoneticPr fontId="44"/>
  </si>
  <si>
    <t>Methane avoidance Landfill gas (LFG) aeration</t>
    <phoneticPr fontId="8"/>
  </si>
  <si>
    <t>Utility Facility Operation Optimization Technology</t>
    <phoneticPr fontId="44"/>
  </si>
  <si>
    <t>Methane avoidance Others</t>
  </si>
  <si>
    <t>Water pump</t>
    <phoneticPr fontId="8"/>
  </si>
  <si>
    <t>Methane recovery &amp; utilization Landfill gas flaring</t>
  </si>
  <si>
    <t>Methane recovery &amp; utilization Landfill gas recovery &amp; utilization</t>
  </si>
  <si>
    <t>Wire stranding machines</t>
    <phoneticPr fontId="8"/>
  </si>
  <si>
    <t>Methane recovery &amp; utilization Coal Mine Methane (CMM)/Coal Bed Methane (CBM)</t>
  </si>
  <si>
    <t>Renewable energy</t>
    <phoneticPr fontId="44"/>
  </si>
  <si>
    <t>Hydropower system</t>
    <phoneticPr fontId="44"/>
  </si>
  <si>
    <t>Methane recovery &amp; utilization Others</t>
  </si>
  <si>
    <t>Hydropower plant</t>
    <phoneticPr fontId="44"/>
  </si>
  <si>
    <t>N2O decomposition</t>
    <phoneticPr fontId="8"/>
  </si>
  <si>
    <t>Solar photovoltaic (PV) system</t>
    <phoneticPr fontId="8"/>
  </si>
  <si>
    <t>Solar photovoltaic (PV) system</t>
    <phoneticPr fontId="44"/>
  </si>
  <si>
    <t>Solar power plant</t>
    <phoneticPr fontId="44"/>
  </si>
  <si>
    <t>Transportation</t>
    <phoneticPr fontId="44"/>
  </si>
  <si>
    <t xml:space="preserve">CNG hybrid equipment </t>
    <phoneticPr fontId="8"/>
  </si>
  <si>
    <t xml:space="preserve">Digital tachograph system </t>
    <phoneticPr fontId="44"/>
  </si>
  <si>
    <t xml:space="preserve">Freshness preservation reefer container </t>
    <phoneticPr fontId="8"/>
  </si>
  <si>
    <t>Biogas boiler</t>
    <phoneticPr fontId="44"/>
  </si>
  <si>
    <t>Biomass boiler</t>
    <phoneticPr fontId="44"/>
  </si>
  <si>
    <t>Biomass power generation system</t>
    <phoneticPr fontId="8"/>
  </si>
  <si>
    <t>Biomass power plant</t>
    <phoneticPr fontId="44"/>
  </si>
  <si>
    <t>Continuous anaerobic digester</t>
    <phoneticPr fontId="44"/>
  </si>
  <si>
    <t>Incinerators</t>
    <phoneticPr fontId="44"/>
  </si>
  <si>
    <t>Landfill gas avoidance</t>
    <phoneticPr fontId="8"/>
  </si>
  <si>
    <t xml:space="preserve">Methane avoidance </t>
    <phoneticPr fontId="44"/>
  </si>
  <si>
    <t xml:space="preserve">Wastewater treatment </t>
    <phoneticPr fontId="44"/>
  </si>
  <si>
    <t>Techonology Covered</t>
    <phoneticPr fontId="8"/>
  </si>
  <si>
    <t>Local Stakeholder Consultation</t>
    <phoneticPr fontId="8"/>
  </si>
  <si>
    <t>Advanced process control (APC) systems</t>
    <phoneticPr fontId="44"/>
  </si>
  <si>
    <t xml:space="preserve">Academic institution management </t>
    <phoneticPr fontId="44"/>
  </si>
  <si>
    <t>Air compressor</t>
    <phoneticPr fontId="44"/>
  </si>
  <si>
    <t>Air conditioning systems</t>
    <phoneticPr fontId="44"/>
  </si>
  <si>
    <t>Air jet loom</t>
    <phoneticPr fontId="44"/>
  </si>
  <si>
    <t>Autoclave</t>
    <phoneticPr fontId="8"/>
  </si>
  <si>
    <t>Company management(s)</t>
    <phoneticPr fontId="44"/>
  </si>
  <si>
    <t>Embassy</t>
    <phoneticPr fontId="8"/>
  </si>
  <si>
    <t>Co-generation system</t>
    <phoneticPr fontId="44"/>
  </si>
  <si>
    <t>Local community(ies)</t>
    <phoneticPr fontId="8"/>
  </si>
  <si>
    <t>Container formation</t>
    <phoneticPr fontId="8"/>
  </si>
  <si>
    <t>Related worker(s)</t>
    <phoneticPr fontId="44"/>
  </si>
  <si>
    <t>User(s)</t>
    <phoneticPr fontId="44"/>
  </si>
  <si>
    <t>Evaporator</t>
    <phoneticPr fontId="8"/>
  </si>
  <si>
    <t>Hear recovery electric heat pump</t>
    <phoneticPr fontId="8"/>
  </si>
  <si>
    <t>Project Data - Summary and Charts</t>
    <phoneticPr fontId="8"/>
  </si>
  <si>
    <t>To Japan</t>
    <phoneticPr fontId="8"/>
  </si>
  <si>
    <t>Chart 4: Amount of Issued Credits</t>
    <phoneticPr fontId="8"/>
  </si>
  <si>
    <t>Table 4: Time from request for project registration to decision of registration (calendar days)</t>
    <phoneticPr fontId="8"/>
  </si>
  <si>
    <t>Chart 5: Time from request for project registration to decision of registration</t>
    <phoneticPr fontId="8"/>
  </si>
  <si>
    <t>Chile</t>
    <phoneticPr fontId="8"/>
  </si>
  <si>
    <t>To Partner Countries</t>
    <phoneticPr fontId="8"/>
  </si>
  <si>
    <t>Chile</t>
    <phoneticPr fontId="8"/>
  </si>
  <si>
    <t>Total</t>
    <phoneticPr fontId="8"/>
  </si>
  <si>
    <t>Total</t>
    <phoneticPr fontId="8"/>
  </si>
  <si>
    <t>Indonesia</t>
    <phoneticPr fontId="3"/>
  </si>
  <si>
    <t>IGES ID</t>
  </si>
  <si>
    <t>Announced as financed project</t>
    <phoneticPr fontId="8"/>
  </si>
  <si>
    <t>Number of Times</t>
    <phoneticPr fontId="8"/>
  </si>
  <si>
    <t>RD</t>
  </si>
  <si>
    <t>Installation of High Efficiency Centrifugal Chiller for Air Conditioning System in Clothing Tag Factory in Bangladesh</t>
  </si>
  <si>
    <t>Bangladesh</t>
    <phoneticPr fontId="8"/>
  </si>
  <si>
    <t>Next Accessories Ltd.</t>
  </si>
  <si>
    <t>Narayanganj District, Dhaka Division</t>
  </si>
  <si>
    <t>N 23°47'28",  E 90°34'21"</t>
  </si>
  <si>
    <t>BD_AM001 Ver1.0</t>
  </si>
  <si>
    <t>Company employee(s); Company management(s)</t>
  </si>
  <si>
    <t>TPE-BD-001 Lloyd's Register Quality Assurance Limited (LRQA)</t>
  </si>
  <si>
    <t>BD003</t>
    <phoneticPr fontId="8"/>
  </si>
  <si>
    <t>Installation of High Efficiency Loom at Weaving Factory</t>
    <phoneticPr fontId="8"/>
  </si>
  <si>
    <t>Hamid Fabrics Limited</t>
    <phoneticPr fontId="8"/>
  </si>
  <si>
    <t>Shilmandi, Narshingdi</t>
    <phoneticPr fontId="8"/>
  </si>
  <si>
    <t>N 23°53'47.11", E90゜40'03.59"</t>
  </si>
  <si>
    <t xml:space="preserve">BD_AM003 Ver1.0 </t>
    <phoneticPr fontId="8"/>
  </si>
  <si>
    <t>Company management(s); Company employee(s); Consultant(s); Related worker(s)</t>
    <phoneticPr fontId="8"/>
  </si>
  <si>
    <t xml:space="preserve">TPE-BD-002 Japan Quality Assurance Organization  </t>
    <phoneticPr fontId="8"/>
  </si>
  <si>
    <t>BD004</t>
    <phoneticPr fontId="8"/>
  </si>
  <si>
    <t>RD</t>
    <phoneticPr fontId="8"/>
  </si>
  <si>
    <t>YKK Bangladesh Pte Ltd</t>
  </si>
  <si>
    <t>YKK Corporation</t>
  </si>
  <si>
    <r>
      <t>Dhaka Export Processing Zone (DEPZ)/ Ashulia City_x000D_</t>
    </r>
    <r>
      <rPr>
        <sz val="12"/>
        <rFont val="ＭＳ Ｐゴシック"/>
        <family val="3"/>
        <charset val="128"/>
      </rPr>
      <t>、</t>
    </r>
    <r>
      <rPr>
        <sz val="12"/>
        <rFont val="Segoe UI"/>
        <family val="2"/>
      </rPr>
      <t xml:space="preserve">Dhaka Division
</t>
    </r>
    <phoneticPr fontId="8"/>
  </si>
  <si>
    <t>N 23°56'57.29", E90゜16'50.13"</t>
  </si>
  <si>
    <t>BD_AM002 Ver1.0</t>
    <phoneticPr fontId="8"/>
  </si>
  <si>
    <t xml:space="preserve">TPE-BD-002 Japan Quality Assurance Organization </t>
    <phoneticPr fontId="8"/>
  </si>
  <si>
    <t>CL001</t>
    <phoneticPr fontId="8"/>
  </si>
  <si>
    <t>Introduction of 1MW Rooftop Solar Power Systems to University</t>
  </si>
  <si>
    <t>MGM Innova Capital Chile SpA; Universidad Técnica Federico Santa María</t>
  </si>
  <si>
    <t>Waseda Environmental Institute; NTT DATA INSTITUTE OF MANAGEMENT CONSULTING,Inc.</t>
  </si>
  <si>
    <t>1. Campus Santiago San Joaquin, San Joaquin, Santiago
2. Valparaiso; Vina del Mar; Vitacura, Santiago_x000D_
3. Campus Sede Vina del Mar, Vina del Mar
4. Campus Santiago Vitacura, Vitacura, Santiago</t>
    <phoneticPr fontId="8"/>
  </si>
  <si>
    <r>
      <rPr>
        <sz val="12"/>
        <rFont val="ＭＳ Ｐゴシック"/>
        <family val="3"/>
        <charset val="128"/>
      </rPr>
      <t>①</t>
    </r>
    <r>
      <rPr>
        <sz val="12"/>
        <rFont val="Segoe UI"/>
        <family val="2"/>
      </rPr>
      <t xml:space="preserve">S33°29'26.4", W70°37'06.2"
</t>
    </r>
    <r>
      <rPr>
        <sz val="12"/>
        <rFont val="ＭＳ Ｐゴシック"/>
        <family val="3"/>
        <charset val="128"/>
      </rPr>
      <t>②</t>
    </r>
    <r>
      <rPr>
        <sz val="12"/>
        <rFont val="Segoe UI"/>
        <family val="2"/>
      </rPr>
      <t xml:space="preserve">S33°02'06.1", W71°35'45.7"
</t>
    </r>
    <r>
      <rPr>
        <sz val="12"/>
        <rFont val="ＭＳ Ｐゴシック"/>
        <family val="3"/>
        <charset val="128"/>
      </rPr>
      <t>③</t>
    </r>
    <r>
      <rPr>
        <sz val="12"/>
        <rFont val="Segoe UI"/>
        <family val="2"/>
      </rPr>
      <t xml:space="preserve">S33°02'11.0", W71°29'11.4"
</t>
    </r>
    <r>
      <rPr>
        <sz val="12"/>
        <rFont val="ＭＳ Ｐゴシック"/>
        <family val="3"/>
        <charset val="128"/>
      </rPr>
      <t>④</t>
    </r>
    <r>
      <rPr>
        <sz val="12"/>
        <rFont val="Segoe UI"/>
        <family val="2"/>
      </rPr>
      <t>S33°22'38.1", W70°34'38.3"</t>
    </r>
    <phoneticPr fontId="8"/>
  </si>
  <si>
    <t>CL_AM001 Ver1.0</t>
  </si>
  <si>
    <t>Company management(s), Company employee(s)</t>
    <phoneticPr fontId="8"/>
  </si>
  <si>
    <t>TPE-CL-003 Japan Management Association</t>
    <phoneticPr fontId="8"/>
  </si>
  <si>
    <t>Refrigerator</t>
    <phoneticPr fontId="8"/>
  </si>
  <si>
    <t>Refrigerator</t>
    <phoneticPr fontId="8"/>
  </si>
  <si>
    <t>JCM Demonstration Project</t>
    <phoneticPr fontId="8"/>
  </si>
  <si>
    <t>Introducing double-bundle modular electric heat pumps at AXIA SOUTH CIKARANG Tower 2</t>
  </si>
  <si>
    <t>PT. TTL Residences</t>
  </si>
  <si>
    <t>Toyota Tsusho Corporation.</t>
  </si>
  <si>
    <t>Lippo Cikarang, Bekasi, West Java</t>
  </si>
  <si>
    <t>S 6°19'40.5660", E 107°08'02.3028"</t>
  </si>
  <si>
    <t>TPE-ID-003 Japan Quality Assurance
Organization (JQA)</t>
  </si>
  <si>
    <t>Power generation by waste heat recovery in the PT Semen Indonesia (Persero) Tbk factory in Tuban</t>
  </si>
  <si>
    <t>PT Semen Indonesia (Persero) Tbk</t>
  </si>
  <si>
    <t xml:space="preserve"> Tuban, Ds. Sumberarum, Kec. Kerek </t>
  </si>
  <si>
    <t>S 6°51'56.1", E 111°54'40.3"</t>
  </si>
  <si>
    <t>ID_AM001 Ver1.0</t>
  </si>
  <si>
    <t>JCM Model Project</t>
    <phoneticPr fontId="8"/>
  </si>
  <si>
    <t>ID017</t>
  </si>
  <si>
    <t>PT. Indesso Aroma</t>
  </si>
  <si>
    <t>Next Energy and Resources Co., Ltd.</t>
  </si>
  <si>
    <t>Solar power</t>
    <phoneticPr fontId="8"/>
  </si>
  <si>
    <t xml:space="preserve">
Bogor Regency, West Java Province_x000D_
Jl Alternatif Cibubur Cileungsi Km.9, Cileungsi 16820_x000D_
</t>
    <phoneticPr fontId="8"/>
  </si>
  <si>
    <t>S 6°23'31", E 106°57'21"</t>
  </si>
  <si>
    <t>ID_AM013 Ver1.0</t>
  </si>
  <si>
    <t>Indonesia JCM Secretaria; Central government official(s); Indonesia JC members; Local government official(s); Association(s); Related company(ies); Academic institution(s)</t>
    <phoneticPr fontId="8"/>
  </si>
  <si>
    <t xml:space="preserve">
TPE-ID-002 Lloyd’s Register Quality Assurance Limited  </t>
    <phoneticPr fontId="8"/>
  </si>
  <si>
    <t>ID018</t>
  </si>
  <si>
    <t>Perusahaan Daerah Pertambangan Dan Energi (PDPDE)</t>
  </si>
  <si>
    <t xml:space="preserve">
South Sumatra_x000D_
Palembang, Jakabaring Sports City_x000D_
</t>
    <phoneticPr fontId="8"/>
  </si>
  <si>
    <t>S 3°00'36.0", E 104°47'24.0"</t>
  </si>
  <si>
    <t xml:space="preserve">Central government official(s); Indonesia JCM Secretariat; Local government official(s); Related company(ies) Academic institution(s); Association(s)
</t>
    <phoneticPr fontId="8"/>
  </si>
  <si>
    <t xml:space="preserve">TPE-ID-003 Japan Quality Assurance Organization </t>
    <phoneticPr fontId="8"/>
  </si>
  <si>
    <t>Installation of gas engine cogeneration system to supply electricity and heat to the vehicle manufacturing factory of PT. Toyota Motor Manufacturing Indonesia</t>
    <phoneticPr fontId="8"/>
  </si>
  <si>
    <t>PT. Toyota Motor Manufacturing Indonesia</t>
  </si>
  <si>
    <t xml:space="preserve">
Jawa Barat 41361_x000D_
Jl. Permata Raya Lot DD-1, Kawasan Industri KIIC, Karawang_x000D_</t>
    <phoneticPr fontId="8"/>
  </si>
  <si>
    <t>S 6°21'22.8", E 107°17'39.7"</t>
  </si>
  <si>
    <t>ID_AM016 Ver1.0</t>
  </si>
  <si>
    <t>1. Energy industries (renewable – / non-renewable sources)</t>
    <phoneticPr fontId="8"/>
  </si>
  <si>
    <t>Co-generation system</t>
    <phoneticPr fontId="8"/>
  </si>
  <si>
    <t xml:space="preserve">Central government officials; Local government officials; Company management(s); Company employee(s); </t>
    <phoneticPr fontId="8"/>
  </si>
  <si>
    <t>TPE-ID-003 Japan Quality Assurance Organization</t>
    <phoneticPr fontId="8"/>
  </si>
  <si>
    <t>ID020</t>
  </si>
  <si>
    <t>Introduction of High-Efficiency Looms in Weaving Mill</t>
  </si>
  <si>
    <t>PT Nikawa Textile Industry</t>
  </si>
  <si>
    <t xml:space="preserve">Karawang Regency, West Java Province_x000D_
</t>
    <phoneticPr fontId="8"/>
  </si>
  <si>
    <t>S6°22'08.8", E107°19'18.4"</t>
    <phoneticPr fontId="8"/>
  </si>
  <si>
    <t>ID_AM011 Ver1.0</t>
  </si>
  <si>
    <t>3. Energy demand</t>
    <phoneticPr fontId="8"/>
  </si>
  <si>
    <t>Indonesia JCM Secretariat; Central government official(s); Association(s); Local government official(s)</t>
    <phoneticPr fontId="8"/>
  </si>
  <si>
    <t>ID021</t>
    <phoneticPr fontId="8"/>
  </si>
  <si>
    <t>Introduction of High-efficiency Once-through Boiler in Film Factory</t>
  </si>
  <si>
    <t>PT MC Pet Film Indonesia</t>
  </si>
  <si>
    <t>Mitsubishi Chemical Corporation; Nippon Koei Co., Ltd.</t>
  </si>
  <si>
    <t>Factory</t>
    <phoneticPr fontId="8"/>
  </si>
  <si>
    <t xml:space="preserve">Banten_x000D_
Cilegon_x000D_
</t>
    <phoneticPr fontId="8"/>
  </si>
  <si>
    <t xml:space="preserve">S 5°58'04", E 106°00'09" </t>
    <phoneticPr fontId="8"/>
  </si>
  <si>
    <t>ID_AM015 Ver1.0</t>
  </si>
  <si>
    <t>Indonesia JCM Secretariat; Central government official(s); Local government official(s)</t>
    <phoneticPr fontId="8"/>
  </si>
  <si>
    <t>ID022</t>
  </si>
  <si>
    <t>PT Sumi Rubber Indonesia</t>
  </si>
  <si>
    <t>Sumitomo Rubber Industries, Ltd.; Nippon Koei Co., Ltd.</t>
  </si>
  <si>
    <t>Karawang Regency, West Java Province</t>
    <phoneticPr fontId="8"/>
  </si>
  <si>
    <t xml:space="preserve">Indonesia JCM Secretariat; Central government official(s); Local government official(s)
</t>
    <phoneticPr fontId="8"/>
  </si>
  <si>
    <t>KE001</t>
    <phoneticPr fontId="8"/>
  </si>
  <si>
    <t>Electrification of communities using Ultra Low Head Micro Hydro Power Generation system</t>
  </si>
  <si>
    <t>Kenya</t>
    <phoneticPr fontId="8"/>
  </si>
  <si>
    <t>National Irrigation Board; Mwea Irrigation Water users’ Association</t>
  </si>
  <si>
    <t>NTT DATA INSTITUTE OF MANAGEMENT CONSULTING, Inc.; JAG SeabellCo.,Ltd.</t>
  </si>
  <si>
    <t xml:space="preserve">Hydropower </t>
    <phoneticPr fontId="8"/>
  </si>
  <si>
    <t>Republic of Kenya_x000D_
Kirinyaga County_x000D_
Kiuria village, Mwea west sub County_x000D_</t>
    <phoneticPr fontId="8"/>
  </si>
  <si>
    <t>S 0°39'34.4", E 37°18'24.8"E</t>
    <phoneticPr fontId="8"/>
  </si>
  <si>
    <t>KE_AM001 Ver1.0</t>
  </si>
  <si>
    <t>Hydropower system</t>
    <phoneticPr fontId="8"/>
  </si>
  <si>
    <t>2014/3/17, 2014/5/8, 2017/02/21</t>
    <phoneticPr fontId="8"/>
  </si>
  <si>
    <t>Central government official(s); International organisation(s); Related company(ies); Embassy; Related company(ies); Association(S)</t>
    <phoneticPr fontId="8"/>
  </si>
  <si>
    <t>TPE-KE-001 TPE-KE-001 Japan Quality Assurance Organization</t>
    <phoneticPr fontId="8"/>
  </si>
  <si>
    <t>KE002</t>
    <phoneticPr fontId="8"/>
  </si>
  <si>
    <t>Krystalline Salt Limited</t>
  </si>
  <si>
    <t>Kenya_x000D_
Kilifi County_x000D_
Gongoni, Malindi_x000D_</t>
    <phoneticPr fontId="8"/>
  </si>
  <si>
    <t>S 3° 02' 04.1", E 40° 08' 24.4"</t>
    <phoneticPr fontId="8"/>
  </si>
  <si>
    <t>KE_AM002 Ver1.0</t>
  </si>
  <si>
    <t>first half of 2016,
2017/2/20</t>
    <phoneticPr fontId="8"/>
  </si>
  <si>
    <t>Local community(ies); Company employee(s)</t>
    <phoneticPr fontId="8"/>
  </si>
  <si>
    <t>TPE-KE-003 Lloyd’s Register Quality Assurance Limited</t>
    <phoneticPr fontId="8"/>
  </si>
  <si>
    <t>International School of Phnom Penh (ISPP)</t>
  </si>
  <si>
    <t>Solar power</t>
    <phoneticPr fontId="8"/>
  </si>
  <si>
    <t>Hun Neang Boulevard, Phnom Penh</t>
  </si>
  <si>
    <t>N 11°30' 46", E 104°55' 46"</t>
  </si>
  <si>
    <t>KH_AM002 ver1.0</t>
  </si>
  <si>
    <t>TPE-KH-002 Lloyd's Register Quality Assurance Limited (LRQA)</t>
  </si>
  <si>
    <t>No</t>
    <phoneticPr fontId="8"/>
  </si>
  <si>
    <t>MM001</t>
    <phoneticPr fontId="8"/>
  </si>
  <si>
    <t>Yangon Waste to Energy plant by introducing power generation and avoidance of landfill gas emissions through combustion of municipal solid waste (MSW)</t>
  </si>
  <si>
    <t>Yangon City Development Committee</t>
  </si>
  <si>
    <t>Republic of the Union of Myanmar_x000D_
Yangon Region_x000D_
Shwe Pyi Thar, Shwe Pyi Thar Township, Yangon City_x000D_</t>
    <phoneticPr fontId="8"/>
  </si>
  <si>
    <t>N 17°01'03.3" 96°, E 05'38.4"</t>
    <phoneticPr fontId="8"/>
  </si>
  <si>
    <t>MM_AM001 Ver1.0</t>
    <phoneticPr fontId="8"/>
  </si>
  <si>
    <t xml:space="preserve"> 1. Energy industries (renewable - / non-renewable sources), 13. Waste handling and disposal</t>
    <phoneticPr fontId="8"/>
  </si>
  <si>
    <t>2015/10/13, 2016/3/6</t>
    <phoneticPr fontId="8"/>
  </si>
  <si>
    <t>Local community(ies)</t>
    <phoneticPr fontId="8"/>
  </si>
  <si>
    <t>TPE-MM-001 Japan Quality Assurance Organization</t>
    <phoneticPr fontId="8"/>
  </si>
  <si>
    <t>Neighbouring citizen(s); Related worker(s)</t>
    <phoneticPr fontId="44"/>
  </si>
  <si>
    <t>2016/10/03-2016/10/04</t>
    <phoneticPr fontId="8"/>
  </si>
  <si>
    <t>1. Energy industries (renewable-/non-renewable sources)</t>
    <phoneticPr fontId="8"/>
  </si>
  <si>
    <t>Local government official(s); Related company(ies)</t>
    <phoneticPr fontId="44"/>
  </si>
  <si>
    <t>SA001</t>
  </si>
  <si>
    <t>Introduction of High Efficiency Electrolyzer in Chlor-Alkali Production Plant</t>
  </si>
  <si>
    <t>Jubail Chemical Industries Company (JANA)</t>
  </si>
  <si>
    <t>Kanematsu Corporation</t>
  </si>
  <si>
    <t>Jubail Industrial City-31961, Eastern Province</t>
  </si>
  <si>
    <t>N 27° 00' 47.03", E 49° 32' 33.87"</t>
  </si>
  <si>
    <t xml:space="preserve"> 
SA_AM001 Ver1.0</t>
  </si>
  <si>
    <t>Company employee(s); Related company(ies)</t>
  </si>
  <si>
    <t>TPE-SA-001 Japan Quality Assurance
Organization</t>
  </si>
  <si>
    <t>Reducing GHG emission at Textile Factory of Luckytex (Thailand) Public Company Limited by Upgrading to Air-saving Loom</t>
  </si>
  <si>
    <t>Luckytex (Thailand) Public Company Limited</t>
  </si>
  <si>
    <t>Mill-1, 38 Moo 14, Suksawad Road, Amphur Phrapradaeng 10130, Samutprakarn</t>
  </si>
  <si>
    <t>N 13°39'25.7", E 100°31'08.5"</t>
  </si>
  <si>
    <t>TH_AM004 Ver1.0</t>
  </si>
  <si>
    <t>TH005</t>
  </si>
  <si>
    <t>SNC Former Public Co., Ltd.</t>
  </si>
  <si>
    <t xml:space="preserve">The Kingdom of Thailand_x000D_
Rayong Province_x000D_
Moo 2, Tambon Makhamkoo, Amphur Nikhomphatthana_x000D_
</t>
    <phoneticPr fontId="8"/>
  </si>
  <si>
    <t>N 12°53'05.2", E 101°05'38.7"</t>
  </si>
  <si>
    <t>TH_AM001 Ver1.0</t>
  </si>
  <si>
    <t>Solar photovoltaic (PV) system, Solar power plant</t>
    <phoneticPr fontId="8"/>
  </si>
  <si>
    <t>Thailand JCM Secretariat; Related company(ies); Local government official(s) ; Neighboring citizen(s)</t>
    <phoneticPr fontId="8"/>
  </si>
  <si>
    <t xml:space="preserve">TPE-TH-001 Lloyd's Register Quality Assurance Limited (LRQA) </t>
    <phoneticPr fontId="8"/>
  </si>
  <si>
    <t>TH006</t>
    <phoneticPr fontId="8"/>
  </si>
  <si>
    <t>Power Generation by Waste Heat Recovery in Cement Industry</t>
    <phoneticPr fontId="8"/>
  </si>
  <si>
    <t>Siam City Power Company Limited</t>
    <phoneticPr fontId="8"/>
  </si>
  <si>
    <t>NTT Data Institute of Management Consulting Inc.</t>
    <phoneticPr fontId="8"/>
  </si>
  <si>
    <t>The Kingdom of Thailand
Saraburi Province 18260
99 Moo 9 and 219 Moo 5, Mittraparb Road Km. 129-131 Tambon Thap Kwang, Amphor Kangkoy, Saraburi Province</t>
    <phoneticPr fontId="8"/>
  </si>
  <si>
    <t>N 14°37'24.8", E 101°05'43.7"</t>
    <phoneticPr fontId="8"/>
  </si>
  <si>
    <t>TH_AM007 Ver1.0</t>
    <phoneticPr fontId="8"/>
  </si>
  <si>
    <t>3. Energy demand; 
4. Manufacturing industries</t>
    <phoneticPr fontId="8"/>
  </si>
  <si>
    <t>TPE-TH-001 Lloyd's Register Quality Assurance Limited (LRQA)</t>
    <phoneticPr fontId="8"/>
  </si>
  <si>
    <t>19 provinces: An Giang, Ba Ria-Vung Tau, Bac Lieu, Ben Tre, Binh Duong, Binh Phuoc, Binh Thuan, Ca Mau, Can Tho (City), Dong Thap, Hau Giang, Kien Giang, Long An, Ninh Thuan, Soc Trang, Tay Ninh, Tien Giang, Tra Vinh, Vinh Long</t>
    <phoneticPr fontId="8"/>
  </si>
  <si>
    <t>New installation</t>
    <phoneticPr fontId="8"/>
  </si>
  <si>
    <t>Company management(s); User(s); Association(s)</t>
    <phoneticPr fontId="44"/>
  </si>
  <si>
    <t>VN007</t>
    <phoneticPr fontId="8"/>
  </si>
  <si>
    <t>Introduction of Solar PV System at shopping mall in Ho Chi Minh</t>
  </si>
  <si>
    <t>AEON VIETNAM CO., LTD.</t>
  </si>
  <si>
    <t>AEON RETAIL CO., LTD.</t>
  </si>
  <si>
    <t>Lot PT1, Hi-tech Healthcare Park, 532A Kinh Duong Vuong, Binh Tri Dong B ward, Binh Tan District, Ho Chi Minh City</t>
  </si>
  <si>
    <t xml:space="preserve">N 10° 44' 34.4", E 106° 36' 41.9" </t>
  </si>
  <si>
    <t>VN_AM007 Ver1.0</t>
  </si>
  <si>
    <t>Company management(s); User(s)</t>
    <phoneticPr fontId="8"/>
  </si>
  <si>
    <t>VN010</t>
  </si>
  <si>
    <t>Installation of Container Formation Facility at Lead Acid Battery Factory of Hitachi Chemical Energy Technology (Vietnam) Co., Ltd.</t>
    <phoneticPr fontId="8"/>
  </si>
  <si>
    <t>Hitachi Chemical Energy Technology (Vietnam) Co., Ltd.</t>
  </si>
  <si>
    <t xml:space="preserve">Dong Nai Province_x000D_
Nhon Trach 3 IP, Second Phase, Nhon Trach District_x000D_
</t>
    <phoneticPr fontId="8"/>
  </si>
  <si>
    <t>N 10°42’25.4”, E 106°56’55.3”</t>
    <phoneticPr fontId="8"/>
  </si>
  <si>
    <t>VN_AM009 Ver1.1</t>
  </si>
  <si>
    <t>Container formation</t>
    <phoneticPr fontId="8"/>
  </si>
  <si>
    <t>Replacement</t>
    <phoneticPr fontId="8"/>
  </si>
  <si>
    <t xml:space="preserve">- </t>
    <phoneticPr fontId="8"/>
  </si>
  <si>
    <t>TPE-VN-002
Japan Quality Assurance Organization</t>
    <phoneticPr fontId="8"/>
  </si>
  <si>
    <t>VN011</t>
  </si>
  <si>
    <t>Installation of Energy Saving Equipment in Lens Factory</t>
    <phoneticPr fontId="8"/>
  </si>
  <si>
    <t>Viet Nam</t>
    <phoneticPr fontId="8"/>
  </si>
  <si>
    <t>HOYA LENS VIETNAM LTD</t>
  </si>
  <si>
    <t>HOYA CORPORATION</t>
  </si>
  <si>
    <t xml:space="preserve">Binh Duong Province_x000D_
20 VSIP 2 Street 4, Viet Nam Singapore Industrial Park 2, Hoa Phu Ward, Thu Dau Mot City_x000D_
</t>
    <phoneticPr fontId="8"/>
  </si>
  <si>
    <t>N 11°04'55.7", E 106°40'56.6"</t>
    <phoneticPr fontId="8"/>
  </si>
  <si>
    <t>VN_AM011 Ver1.0_x000D_
VN_AM012 Ver1.0</t>
  </si>
  <si>
    <t>Related company(ies); Company employee(s); Company management(s)</t>
    <phoneticPr fontId="8"/>
  </si>
  <si>
    <t>TPE-VN-001
Lloyd’s Register Quality Assurance Limited</t>
    <phoneticPr fontId="8"/>
  </si>
  <si>
    <t>VN012</t>
  </si>
  <si>
    <t>Introduction of High Efficiency Water Pumps in Da Nang City</t>
    <phoneticPr fontId="8"/>
  </si>
  <si>
    <t>Danang Water Supply Joint Stock Company (DAWACO)</t>
  </si>
  <si>
    <t>Public  facility</t>
    <phoneticPr fontId="8"/>
  </si>
  <si>
    <t>Da Nang city, Cam Le district, West Hoa ward_x000D_</t>
    <phoneticPr fontId="8"/>
  </si>
  <si>
    <t>N 16°00'06.3", E 108°11'17.8"</t>
    <phoneticPr fontId="8"/>
  </si>
  <si>
    <t>VN_AM013 Ver1.0</t>
  </si>
  <si>
    <t>TPE-VN-002
Japan Quality Assurance Organization</t>
    <phoneticPr fontId="8"/>
  </si>
  <si>
    <t>VN013</t>
  </si>
  <si>
    <t>Introduction of Amorphous High Efficiency Transformers in Northern, Central and Southern Power Grids</t>
    <phoneticPr fontId="8"/>
  </si>
  <si>
    <t>EVN Southern Power Corporation; EVN Hanoi; Khanh Hoa Power Joint Stock Company; Dong Nai Power Company</t>
  </si>
  <si>
    <t>Yuko-Keiso Co., Ltd.</t>
  </si>
  <si>
    <t>Supply side</t>
    <phoneticPr fontId="8"/>
  </si>
  <si>
    <t>1. EVN Southern Power Corporation (EVNSPC) Ward, District 1, HCMC, Ho Chi Minh City; 
2. EVN Hanoi (EVNHN) Hoan Kiem District, Hanoi, Hanoi; 
3. Khanh Hoa Power Joint Stock Company (KHPC) Nha Trang City, Khanh Hoa Province; 
4. Dong Nai Power Company (Dong Nai PC) Bien Hoa City, Dong Nai Province</t>
    <phoneticPr fontId="8"/>
  </si>
  <si>
    <r>
      <rPr>
        <sz val="12"/>
        <rFont val="ＭＳ Ｐゴシック"/>
        <family val="3"/>
        <charset val="128"/>
      </rPr>
      <t>①：</t>
    </r>
    <r>
      <rPr>
        <sz val="12"/>
        <rFont val="Segoe UI"/>
        <family val="2"/>
      </rPr>
      <t xml:space="preserve">N 10°46'40.7", E 106°42'15.7"
</t>
    </r>
    <r>
      <rPr>
        <sz val="12"/>
        <rFont val="ＭＳ Ｐゴシック"/>
        <family val="3"/>
        <charset val="128"/>
      </rPr>
      <t>②：</t>
    </r>
    <r>
      <rPr>
        <sz val="12"/>
        <rFont val="Segoe UI"/>
        <family val="2"/>
      </rPr>
      <t xml:space="preserve">N 21°01'45.7", E 105°51'14.7"
</t>
    </r>
    <r>
      <rPr>
        <sz val="12"/>
        <rFont val="ＭＳ Ｐゴシック"/>
        <family val="3"/>
        <charset val="128"/>
      </rPr>
      <t>③：</t>
    </r>
    <r>
      <rPr>
        <sz val="12"/>
        <rFont val="Segoe UI"/>
        <family val="2"/>
      </rPr>
      <t xml:space="preserve">N 12°14'59.7", E 109°11'27.3"
</t>
    </r>
    <r>
      <rPr>
        <sz val="12"/>
        <rFont val="ＭＳ Ｐゴシック"/>
        <family val="3"/>
        <charset val="128"/>
      </rPr>
      <t>④：</t>
    </r>
    <r>
      <rPr>
        <sz val="12"/>
        <rFont val="Segoe UI"/>
        <family val="2"/>
      </rPr>
      <t>N 10°58'01.9", E 106°51'22.4"</t>
    </r>
    <phoneticPr fontId="8"/>
  </si>
  <si>
    <t>VN_AM005 Ver1.0</t>
  </si>
  <si>
    <t>2. Energy distribution</t>
    <phoneticPr fontId="8"/>
  </si>
  <si>
    <t>Transformer, Electricity distribution grid</t>
    <phoneticPr fontId="8"/>
  </si>
  <si>
    <t>1. 2018/8/31
2. 2018/9/4
3. 2018/9/7</t>
    <phoneticPr fontId="8"/>
  </si>
  <si>
    <t>Company employee(s); Company management(s)</t>
    <phoneticPr fontId="8"/>
  </si>
  <si>
    <t>TPE-VN-005 Deloitte Tohmatsu Sustainability, Co., Ltd. (formerly Deloitte Tohmatsu Evaluation and Certification Organization Co., Ltd.)</t>
    <phoneticPr fontId="8"/>
  </si>
  <si>
    <t>VN014</t>
  </si>
  <si>
    <t>Introduction of high-efficient wire stranding machines to the factory of YAZAKI EDS VIETNAM Co., LTD.</t>
    <phoneticPr fontId="8"/>
  </si>
  <si>
    <t>Viet Nam</t>
    <phoneticPr fontId="8"/>
  </si>
  <si>
    <t>YAZAKI EDS VIETNAM Co., LTD.</t>
  </si>
  <si>
    <t>YAZAKI Parts Co., LTD.; YAZAKI corporation</t>
  </si>
  <si>
    <t>Lot C3-2, Block C3, Tan Phu Trung I.P, Tan Phu Trung Commune, Cu Chi District, Ho Chi Minh City_x000D_</t>
    <phoneticPr fontId="8"/>
  </si>
  <si>
    <t>N 10°55’13.1”, E 106°32’14.0”</t>
    <phoneticPr fontId="8"/>
  </si>
  <si>
    <t>VN_AM014 Ver1.0</t>
  </si>
  <si>
    <t>Wire standing machine</t>
    <phoneticPr fontId="8"/>
  </si>
  <si>
    <t>Company employee(s); Company management(s)</t>
    <phoneticPr fontId="8"/>
  </si>
  <si>
    <t>TPE-VN-002
Japan Quality Assurance Organization</t>
    <phoneticPr fontId="8"/>
  </si>
  <si>
    <t xml:space="preserve">Meth. No. </t>
    <phoneticPr fontId="8"/>
  </si>
  <si>
    <t>Latest 
version</t>
    <phoneticPr fontId="8"/>
  </si>
  <si>
    <t>Type of Project</t>
    <phoneticPr fontId="8"/>
  </si>
  <si>
    <t>Ver2.0</t>
    <phoneticPr fontId="8"/>
  </si>
  <si>
    <t>Chiller</t>
    <phoneticPr fontId="8"/>
  </si>
  <si>
    <t>Solar photovoltaic (PV) system</t>
    <phoneticPr fontId="8"/>
  </si>
  <si>
    <t>Ver1.0</t>
    <phoneticPr fontId="8"/>
  </si>
  <si>
    <t>CL_AM001</t>
    <phoneticPr fontId="8"/>
  </si>
  <si>
    <t>1. Energy industries (renewable-/non-renewable sources)</t>
    <phoneticPr fontId="8"/>
  </si>
  <si>
    <t>Ver1.0</t>
    <phoneticPr fontId="8"/>
  </si>
  <si>
    <t>Energy efficiency</t>
    <phoneticPr fontId="8"/>
  </si>
  <si>
    <t>Substantive revision proposals</t>
    <phoneticPr fontId="8"/>
  </si>
  <si>
    <t>Utility Facility Operation Optimization Technology</t>
    <phoneticPr fontId="8"/>
  </si>
  <si>
    <t>1. C. Summary of  the methodology
2. E. Emission Sources and GHG types
3. F.1. Establishment of reference emissions</t>
    <phoneticPr fontId="8"/>
  </si>
  <si>
    <r>
      <rPr>
        <sz val="12"/>
        <rFont val="Arial"/>
        <family val="2"/>
      </rPr>
      <t xml:space="preserve">1. Energy consumption and steam generation in boilers; and </t>
    </r>
    <r>
      <rPr>
        <sz val="12"/>
        <color rgb="FFFF0000"/>
        <rFont val="Arial"/>
        <family val="2"/>
      </rPr>
      <t xml:space="preserve">number of hour(s) recorded for steam generation
</t>
    </r>
    <r>
      <rPr>
        <sz val="12"/>
        <rFont val="Arial"/>
        <family val="2"/>
      </rPr>
      <t xml:space="preserve">2. Emissions from fossil fuel consumption </t>
    </r>
    <r>
      <rPr>
        <sz val="12"/>
        <color rgb="FFFF0000"/>
        <rFont val="Arial"/>
        <family val="2"/>
      </rPr>
      <t>by</t>
    </r>
    <r>
      <rPr>
        <sz val="12"/>
        <rFont val="Arial"/>
        <family val="2"/>
      </rPr>
      <t xml:space="preserve"> boilers</t>
    </r>
    <r>
      <rPr>
        <sz val="12"/>
        <color rgb="FF00B0F0"/>
        <rFont val="Arial"/>
        <family val="2"/>
      </rPr>
      <t xml:space="preserve">
</t>
    </r>
    <r>
      <rPr>
        <sz val="12"/>
        <rFont val="Arial"/>
        <family val="2"/>
      </rPr>
      <t>3. Added two parameters (STp: Process steam generation during the period p, Hp: number of hour(s)</t>
    </r>
    <r>
      <rPr>
        <i/>
        <sz val="12"/>
        <rFont val="Arial"/>
        <family val="2"/>
      </rPr>
      <t xml:space="preserve"> h</t>
    </r>
    <r>
      <rPr>
        <sz val="12"/>
        <rFont val="Arial"/>
        <family val="2"/>
      </rPr>
      <t xml:space="preserve"> recorded for steam generation during the period </t>
    </r>
    <r>
      <rPr>
        <i/>
        <sz val="12"/>
        <rFont val="Arial"/>
        <family val="2"/>
      </rPr>
      <t>p</t>
    </r>
    <r>
      <rPr>
        <sz val="12"/>
        <rFont val="Arial"/>
        <family val="2"/>
      </rPr>
      <t>) to equation, reflecting the added monitoring parameter</t>
    </r>
    <phoneticPr fontId="8"/>
  </si>
  <si>
    <t>Fridge and freezer showcase</t>
    <phoneticPr fontId="8"/>
  </si>
  <si>
    <t>Energy Efficiency</t>
    <phoneticPr fontId="8"/>
  </si>
  <si>
    <t>3. Energy demand</t>
    <phoneticPr fontId="8"/>
  </si>
  <si>
    <t>Base Tranceiver Stations (BTS)</t>
    <phoneticPr fontId="8"/>
  </si>
  <si>
    <t>Solar photovoltaic (PV) system, Tribrid system, Batteries</t>
    <phoneticPr fontId="8"/>
  </si>
  <si>
    <t>3. Energy demand</t>
    <phoneticPr fontId="8"/>
  </si>
  <si>
    <t>ID022, ID021</t>
    <phoneticPr fontId="8"/>
  </si>
  <si>
    <t>Indonesia</t>
    <phoneticPr fontId="8"/>
  </si>
  <si>
    <r>
      <t>CO</t>
    </r>
    <r>
      <rPr>
        <vertAlign val="subscript"/>
        <sz val="12"/>
        <rFont val="Arial"/>
        <family val="2"/>
      </rPr>
      <t>2</t>
    </r>
    <phoneticPr fontId="8"/>
  </si>
  <si>
    <t>ID019</t>
    <phoneticPr fontId="8"/>
  </si>
  <si>
    <t>ID_AM017</t>
    <phoneticPr fontId="8"/>
  </si>
  <si>
    <t>Renewable energy</t>
    <phoneticPr fontId="8"/>
  </si>
  <si>
    <t>Solar photovoltaic (PV)</t>
    <phoneticPr fontId="8"/>
  </si>
  <si>
    <t>ID_PM024</t>
    <phoneticPr fontId="8"/>
  </si>
  <si>
    <t>Institute for Global Environmental Strategies</t>
    <phoneticPr fontId="8"/>
  </si>
  <si>
    <t>Solar photovoltaic (PV) system, Storage battery</t>
    <phoneticPr fontId="8"/>
  </si>
  <si>
    <t>New installation</t>
    <phoneticPr fontId="8"/>
  </si>
  <si>
    <t xml:space="preserve">1. Reference CO2 emission factor for the project system, which is obtained from a study of electricity systems in Indtonesia and heat efficiency of the world's leading diesel generator. 
2. Loss ratio of charge and discharge on the project strage battery system. </t>
    <phoneticPr fontId="8"/>
  </si>
  <si>
    <t>1. The quantity of the electricity generated by the project solar PV system(s) and charge and discharge amounts of the storage battery system(s) as necessary depending on the selected option for calculation of reference emissions</t>
    <phoneticPr fontId="8"/>
  </si>
  <si>
    <t>ID_AM018</t>
    <phoneticPr fontId="8"/>
  </si>
  <si>
    <t xml:space="preserve">
ID_PM027 </t>
    <phoneticPr fontId="8"/>
  </si>
  <si>
    <t>Institute for Global Environmental Strategies</t>
    <phoneticPr fontId="8"/>
  </si>
  <si>
    <t>LED Street Lighting with Dimming System</t>
    <phoneticPr fontId="8"/>
  </si>
  <si>
    <r>
      <t>CO</t>
    </r>
    <r>
      <rPr>
        <vertAlign val="subscript"/>
        <sz val="12"/>
        <rFont val="Arial"/>
        <family val="2"/>
      </rPr>
      <t>2</t>
    </r>
    <phoneticPr fontId="8"/>
  </si>
  <si>
    <t>Survey</t>
    <phoneticPr fontId="8"/>
  </si>
  <si>
    <r>
      <t>1. Luminous efficiency of project street lighting for group (lm/W), prepared by manufacturer.
2. Luminous efficiency of reference street lighting for group, derived from the result of survey (lm/W, the default value: 115 lm/W when RPC 90W, 100 lm/W when RPC</t>
    </r>
    <r>
      <rPr>
        <sz val="12"/>
        <rFont val="ＭＳ Ｐゴシック"/>
        <family val="3"/>
        <charset val="128"/>
      </rPr>
      <t>＞</t>
    </r>
    <r>
      <rPr>
        <sz val="12"/>
        <rFont val="Arial"/>
        <family val="2"/>
      </rPr>
      <t xml:space="preserve">90W)
3. CO2 emission factor for consumed electricity. 
 - When project street lighting consumes only grid electricity or captive electricity (0.8 [tCO2/MWh], CDM), the project participant applies the CO2 emission factor respectively. 
 - When project street lighting may consume both grid electricity and captive electricity (0.8 [tCO2/MWh], CDM), the project participant applies the CO2 emission factor with a lower value. </t>
    </r>
    <phoneticPr fontId="8"/>
  </si>
  <si>
    <t>1. Electricity consumption of project street lighting</t>
    <phoneticPr fontId="8"/>
  </si>
  <si>
    <t>ID_AM019</t>
    <phoneticPr fontId="8"/>
  </si>
  <si>
    <t>Hydro power</t>
    <phoneticPr fontId="8"/>
  </si>
  <si>
    <t xml:space="preserve">Hydro generation unit </t>
    <phoneticPr fontId="8"/>
  </si>
  <si>
    <t>New installation</t>
    <phoneticPr fontId="8"/>
  </si>
  <si>
    <t>Benchmarking approach</t>
    <phoneticPr fontId="8"/>
  </si>
  <si>
    <t>1. Reference CO2 emission factor for the project hydro power generation system (the default value depends on grids).</t>
    <phoneticPr fontId="8"/>
  </si>
  <si>
    <t>1. The quantity of the electricity generated by the project hydro power generation system(s).</t>
    <phoneticPr fontId="8"/>
  </si>
  <si>
    <t>ID_AM020</t>
    <phoneticPr fontId="8"/>
  </si>
  <si>
    <t>Introduction of energy efficient and high color rendering LED downlight/spotlight</t>
    <phoneticPr fontId="8"/>
  </si>
  <si>
    <t>3. Energy Demand</t>
    <phoneticPr fontId="8"/>
  </si>
  <si>
    <t>Commercial &amp; household</t>
    <phoneticPr fontId="8"/>
  </si>
  <si>
    <t>-</t>
    <phoneticPr fontId="8"/>
  </si>
  <si>
    <t>LED lighting</t>
    <phoneticPr fontId="8"/>
  </si>
  <si>
    <t>Survey</t>
    <phoneticPr fontId="8"/>
  </si>
  <si>
    <t>1. CO2 emission factor for consumed electricity in the facility 
2. Luminous efficiency of project lighting for each lighting group in each facility
3. Luminous efficiency of reference lighting for each lighting groupin each facility
4. Number of the unit of project lighting for each lighting group in each facility</t>
    <phoneticPr fontId="8"/>
  </si>
  <si>
    <t>1. Rated power consumption per unit of project lighting for each lighting group in each facility
2. Daily opening hours of each facility</t>
    <phoneticPr fontId="8"/>
  </si>
  <si>
    <t>ID_AM021</t>
    <phoneticPr fontId="8"/>
  </si>
  <si>
    <t>Rehabilitation</t>
    <phoneticPr fontId="8"/>
  </si>
  <si>
    <t>Survey, Country data</t>
    <phoneticPr fontId="8"/>
  </si>
  <si>
    <t>Quantity of the net electricity generated by the project hydro power generation system during the monitoring periond</t>
    <phoneticPr fontId="8"/>
  </si>
  <si>
    <t>ID_AM022</t>
    <phoneticPr fontId="8"/>
  </si>
  <si>
    <t>Introduction of Absorption Chiller</t>
    <phoneticPr fontId="8"/>
  </si>
  <si>
    <t>ID_PM032</t>
    <phoneticPr fontId="8"/>
  </si>
  <si>
    <t>Tokyo Century Corporation</t>
    <phoneticPr fontId="8"/>
  </si>
  <si>
    <t>Chiller</t>
    <phoneticPr fontId="8"/>
  </si>
  <si>
    <r>
      <t>CO</t>
    </r>
    <r>
      <rPr>
        <vertAlign val="subscript"/>
        <sz val="12"/>
        <rFont val="Arial"/>
        <family val="2"/>
      </rPr>
      <t>2</t>
    </r>
    <phoneticPr fontId="8"/>
  </si>
  <si>
    <t>Survey, Country data</t>
    <phoneticPr fontId="8"/>
  </si>
  <si>
    <t>1. CO2 emission factor for consumed electricity
2. COP of reference chiller
3. Net calorific value of gas fuel consumed by project absorption chiller
4. CO2 emission factor for gas fuel consumed by project absorption chiller
5. Electric power of the project absorption chiller</t>
    <phoneticPr fontId="8"/>
  </si>
  <si>
    <t>1. Cooling energy generated by project absorption chiller during the monitoring period
2. Electricity consumption by project absorption chiller during the monitoring period
3. Gas fuel consumption by project absorption chiller during the monitoring period</t>
    <phoneticPr fontId="8"/>
  </si>
  <si>
    <t>Electricity distribution grid</t>
    <phoneticPr fontId="8"/>
  </si>
  <si>
    <t>Transformers, Electricity distribution grid</t>
    <phoneticPr fontId="8"/>
  </si>
  <si>
    <t>MM_AM001</t>
    <phoneticPr fontId="8"/>
  </si>
  <si>
    <t>Ver1.0</t>
    <phoneticPr fontId="8"/>
  </si>
  <si>
    <t>1. Power consumption of the project regrigerator during the monitoring period
2. The amount of fuel input for power generation during monitoring period
3. the amount ofelectricity generated during the monitoring period</t>
    <phoneticPr fontId="8"/>
  </si>
  <si>
    <t>Benchmarking approach</t>
    <phoneticPr fontId="8"/>
  </si>
  <si>
    <t>The amount of fuel consumption of project boiler for the fuel type during the monitoring period</t>
    <phoneticPr fontId="8"/>
  </si>
  <si>
    <t>Biomass power plant</t>
    <phoneticPr fontId="8"/>
  </si>
  <si>
    <t>1. CO2 emission factor for grid electricity 
2. Total rated power consumption of the auxiliary equipment of the rice husk power plant</t>
    <phoneticPr fontId="8"/>
  </si>
  <si>
    <t>1. Amount of electricity generated by the rice husk power plant during the monitoring period
2. Amount of electricity supplied by the rice husk power plant to the national grid during the monigoring period
3. Number of days during the monitoring period</t>
    <phoneticPr fontId="8"/>
  </si>
  <si>
    <t>Voluntary or national standards and targets</t>
    <phoneticPr fontId="8"/>
  </si>
  <si>
    <t>I. Data and parameters fixed ex ante</t>
    <phoneticPr fontId="8"/>
  </si>
  <si>
    <t xml:space="preserve">2 options of CO2 emission factor
a. grid electricity
b. captive electricity
</t>
    <phoneticPr fontId="8"/>
  </si>
  <si>
    <t>Energy efficiency</t>
    <phoneticPr fontId="8"/>
  </si>
  <si>
    <t>TH_PM008</t>
    <phoneticPr fontId="8"/>
  </si>
  <si>
    <t>NTT DATA INSTITUTE OF MANAGEMENT CONSULTING, Inc.</t>
    <phoneticPr fontId="8"/>
  </si>
  <si>
    <t>Ver2.0</t>
    <phoneticPr fontId="8"/>
  </si>
  <si>
    <r>
      <t>1. Net calorific value of fuel used by each freight vehicle (GJ/kL, country specific data or IPCC default value)
2. CO</t>
    </r>
    <r>
      <rPr>
        <vertAlign val="subscript"/>
        <sz val="12"/>
        <rFont val="Arial"/>
        <family val="2"/>
      </rPr>
      <t>2</t>
    </r>
    <r>
      <rPr>
        <sz val="12"/>
        <rFont val="Arial"/>
        <family val="2"/>
      </rPr>
      <t xml:space="preserve"> emission factor of fuel used by each freight vehicle (tCO</t>
    </r>
    <r>
      <rPr>
        <vertAlign val="subscript"/>
        <sz val="12"/>
        <rFont val="Arial"/>
        <family val="2"/>
      </rPr>
      <t>2</t>
    </r>
    <r>
      <rPr>
        <sz val="12"/>
        <rFont val="Arial"/>
        <family val="2"/>
      </rPr>
      <t>/GJ, country specific data or IPCC default value)
3. Fuel consumption by each freight vehicle measured during a period before activation of digital tachograph system (kL)
4. Distance travelled by each freight vehicle measured during a period before activation of digital tachograph system (km)
5. Reference fuel efficiency of each freight vehicle (kL/km)</t>
    </r>
    <phoneticPr fontId="8"/>
  </si>
  <si>
    <t>Voluntary or national standards and targets</t>
    <phoneticPr fontId="8"/>
  </si>
  <si>
    <t>Transformers, Electricity distribution grip</t>
    <phoneticPr fontId="8"/>
  </si>
  <si>
    <t>Ver1.1</t>
    <phoneticPr fontId="8"/>
  </si>
  <si>
    <t>Container Formation</t>
    <phoneticPr fontId="8"/>
  </si>
  <si>
    <t xml:space="preserve">1. RE_i,p: Reference emissions to produce lead acid battery in the project factory during the project period
2. Deleted parameter: ECPJ : Electricity consumption by the container formation facilities including chiller and cooling tower in the project factory during the project period
</t>
    <phoneticPr fontId="8"/>
  </si>
  <si>
    <t>Ver1.0</t>
    <phoneticPr fontId="8"/>
  </si>
  <si>
    <t>Energy efficiency</t>
    <phoneticPr fontId="8"/>
  </si>
  <si>
    <t>Ver1.0</t>
    <phoneticPr fontId="8"/>
  </si>
  <si>
    <t>Registered</t>
    <phoneticPr fontId="3"/>
  </si>
  <si>
    <t>Installing</t>
    <phoneticPr fontId="8"/>
  </si>
  <si>
    <t>FY2012</t>
    <phoneticPr fontId="3"/>
  </si>
  <si>
    <t>Average subtotal</t>
    <phoneticPr fontId="3"/>
  </si>
  <si>
    <t>Average subtotal</t>
    <phoneticPr fontId="3"/>
  </si>
  <si>
    <t>Sum Subtotal</t>
    <phoneticPr fontId="3"/>
  </si>
  <si>
    <t>01 Mar 14 - 31 Jul 15</t>
  </si>
  <si>
    <t>02 Feb 15 - 31 Jul 15</t>
  </si>
  <si>
    <t>20 Dec 14 - 31 May 16</t>
  </si>
  <si>
    <t>01 Apr 15 - 31 May 16</t>
  </si>
  <si>
    <t>01 Mar 14 - 31 May 16</t>
  </si>
  <si>
    <t>01 Jan 17 - 30 Apr 18</t>
  </si>
  <si>
    <t>01 Jul 17 - 31 Aug 18</t>
  </si>
  <si>
    <t>01 Jan 18 - 31 Oct 18</t>
  </si>
  <si>
    <t>01 Jan 18 - 31 Dec 18</t>
  </si>
  <si>
    <t>01 Jan 17 - 30 Sep 18</t>
  </si>
  <si>
    <t>06 Feb 17 - 31 Aug 18</t>
  </si>
  <si>
    <t>26 Aug 17 - 31 May 18</t>
  </si>
  <si>
    <t>01 Jan 17 - 31 Jul 17</t>
  </si>
  <si>
    <t>02 Dec 17 - 31 Dec 18</t>
  </si>
  <si>
    <t>02 Sep 17 - 30 Nov 18</t>
  </si>
  <si>
    <t>23 Oct 14 - 30 Nov 15</t>
  </si>
  <si>
    <t>08 Feb 16 - 31 Jul 17</t>
  </si>
  <si>
    <t>21 Jan 16 - 31 Jul 17</t>
  </si>
  <si>
    <t>20 Jun 16 - 01 Oct 17</t>
  </si>
  <si>
    <t>01 Apr 17 - 31 Dec 17</t>
  </si>
  <si>
    <t>01 Aug 15 - 30 Jun 16</t>
  </si>
  <si>
    <t>06 Aug 15 - 31 Oct 16</t>
  </si>
  <si>
    <t>01 Apr 16 - 31 May 17</t>
  </si>
  <si>
    <t>01 Jan 16 - 31 Mar 16</t>
  </si>
  <si>
    <t>06 Oct 16 - 30 Sep 17</t>
  </si>
  <si>
    <t>24 Mar 17 - 31 Dec 17</t>
  </si>
  <si>
    <t>13 May 17 - 31 Dec 17</t>
  </si>
  <si>
    <t>06 Dec 17 - 30 Nov 18</t>
  </si>
  <si>
    <t>Credits issuance_1</t>
    <phoneticPr fontId="3"/>
  </si>
  <si>
    <t>Credits issuance_2</t>
    <phoneticPr fontId="3"/>
  </si>
  <si>
    <t>20 Sep 16 - 15 May 18</t>
    <phoneticPr fontId="3"/>
  </si>
  <si>
    <t>20 Sep 15 - 15 May 16</t>
    <phoneticPr fontId="3"/>
  </si>
  <si>
    <t>Myanmar</t>
    <phoneticPr fontId="3"/>
  </si>
  <si>
    <t>Myanmar</t>
    <phoneticPr fontId="8"/>
  </si>
  <si>
    <t>No</t>
    <phoneticPr fontId="3"/>
  </si>
  <si>
    <r>
      <t>Los Altos</t>
    </r>
    <r>
      <rPr>
        <sz val="12"/>
        <rFont val="ＭＳ Ｐゴシック"/>
        <family val="3"/>
        <charset val="128"/>
      </rPr>
      <t>Ⅱ</t>
    </r>
    <r>
      <rPr>
        <sz val="12"/>
        <rFont val="Segoe UI"/>
        <family val="2"/>
      </rPr>
      <t xml:space="preserve"> Wind Farm Project </t>
    </r>
  </si>
  <si>
    <t>Development of Collection Scheme and Introduction of Dedicated
System for Destruction of Used Fluorocarbons</t>
    <phoneticPr fontId="8"/>
  </si>
  <si>
    <t>Project on Introduction of Scheme for Fluorocarbons Recovery and
Destruction with Utilization of Existing Waste Incineration Plant</t>
    <phoneticPr fontId="8"/>
  </si>
  <si>
    <t>Ministry of Energy</t>
    <phoneticPr fontId="3"/>
  </si>
  <si>
    <t>Power Grid Company of
Bangladesh, Ltd.</t>
    <phoneticPr fontId="3"/>
  </si>
  <si>
    <t>Addu Atoll Electric Power
Corporation</t>
    <phoneticPr fontId="3"/>
  </si>
  <si>
    <t>Registered</t>
    <phoneticPr fontId="3"/>
  </si>
  <si>
    <r>
      <rPr>
        <sz val="11"/>
        <color theme="1"/>
        <rFont val="ＭＳ Ｐゴシック"/>
        <family val="3"/>
        <charset val="128"/>
      </rPr>
      <t>※</t>
    </r>
    <r>
      <rPr>
        <sz val="11"/>
        <color theme="1"/>
        <rFont val="Arial"/>
        <family val="2"/>
      </rPr>
      <t>1. If a project is adopted over several years, only the first year is counted in Table1 and Chart1</t>
    </r>
    <r>
      <rPr>
        <sz val="11"/>
        <color theme="1"/>
        <rFont val="ＭＳ Ｐゴシック"/>
        <family val="3"/>
        <charset val="128"/>
      </rPr>
      <t/>
    </r>
    <phoneticPr fontId="3"/>
  </si>
  <si>
    <t>Installing</t>
    <phoneticPr fontId="8"/>
  </si>
  <si>
    <t>Installing</t>
    <phoneticPr fontId="8"/>
  </si>
  <si>
    <t>Installing</t>
    <phoneticPr fontId="8"/>
  </si>
  <si>
    <t>Installing: Project which has prepared for operation
Implementation: Project which has started operation
Registered: Project which is registered as JCM project
Withdrawn: Project which is already withdrawn</t>
    <phoneticPr fontId="8"/>
  </si>
  <si>
    <t>Subtotal</t>
    <phoneticPr fontId="3"/>
  </si>
  <si>
    <t>CR001</t>
    <phoneticPr fontId="3"/>
  </si>
  <si>
    <t>Generacion Solar Fotovoltaica Belen Sociedad Anonima Coope Guanacaste</t>
  </si>
  <si>
    <t>NTT DATA INSTITUTE OF MANAGEMENT CONSULTING, Inc</t>
  </si>
  <si>
    <t>CR_AM001 Ver1.0</t>
  </si>
  <si>
    <t>Costa Rica</t>
    <phoneticPr fontId="3"/>
  </si>
  <si>
    <t>Costa Rica_x000D_
Guanacasta Region_x000D_
Municipality Belen_x000D_</t>
    <phoneticPr fontId="3"/>
  </si>
  <si>
    <t>N10°23'36.1", W85°35'14.3"</t>
    <phoneticPr fontId="3"/>
  </si>
  <si>
    <t>Related company(ies)</t>
    <phoneticPr fontId="3"/>
  </si>
  <si>
    <t>TPE-CR-003 Japan Quality Assurance Organization</t>
    <phoneticPr fontId="3"/>
  </si>
  <si>
    <t>RD</t>
    <phoneticPr fontId="3"/>
  </si>
  <si>
    <t>RD</t>
    <phoneticPr fontId="8"/>
  </si>
  <si>
    <t>N/A</t>
    <phoneticPr fontId="3"/>
  </si>
  <si>
    <t>N/A</t>
    <phoneticPr fontId="3"/>
  </si>
  <si>
    <t>KH002</t>
    <phoneticPr fontId="3"/>
  </si>
  <si>
    <t>Introduction of High Efficiency LED Lighting Utilizing Wireless Network</t>
  </si>
  <si>
    <t>(1) Overseas Cambodian Investment Corporation (OCIC); (2) Authority for the Protection of the Site and the Management of the Region of Angkor (APSARA Authority); (3) Siem Reap Provincial Hall</t>
  </si>
  <si>
    <t>MinebeaMitsumi Inc.</t>
  </si>
  <si>
    <t>KH_AM001 Ver1.0</t>
  </si>
  <si>
    <t>Energy efficiency</t>
    <phoneticPr fontId="8"/>
  </si>
  <si>
    <t>10 years (duration for each site); 11 years (total duration for the entire project)</t>
    <phoneticPr fontId="3"/>
  </si>
  <si>
    <t>Subproject 1: N 7°20'6", E 134°27'19"
Subproject 2: N 7°20'28", E 134°28'20"
Subproject 3: N 7°20'45", E 134°29'28"</t>
    <phoneticPr fontId="3"/>
  </si>
  <si>
    <t>(1) 11°33'04.8"N 104°56'26.8"E
(2) 11°36'34.3"N 104°55'34.7"E
(3) 13°23'12.6"N 103°58'30.9"E
(4) 13°22'51.1"N 103°52'50.0"E</t>
    <phoneticPr fontId="3"/>
  </si>
  <si>
    <t>(1) Phnom Penh, Diamond Island, Tonie Bassac Commune, Chomkamon District
(2) Phnom Penh, Sangkat Chroy Chong Var, Phnom Penh, Cambodia
(3) Siem Reap, Apsara National Authority, Bang Korng Village, Ampil Commune, Siem Reap City, Siem Reap Province
(4) Siem Reap, 60 street, Boeung Donnpa, Slorkram, Siem Reap Province</t>
    <phoneticPr fontId="3"/>
  </si>
  <si>
    <t>Public  facility</t>
    <phoneticPr fontId="8"/>
  </si>
  <si>
    <t>LED Street Lighting with Dimming System</t>
    <phoneticPr fontId="3"/>
  </si>
  <si>
    <t xml:space="preserve">1st LSC in Phnom Penh,  
Central government official(s); Association(s); Related company(ies); Consultant(s)
2nd LSC in Siem Reap, Association(s); Related company(ies); Consultant(s)
</t>
    <phoneticPr fontId="3"/>
  </si>
  <si>
    <t>TPE-KH-003 Japan Quality Assurance Organization</t>
    <phoneticPr fontId="3"/>
  </si>
  <si>
    <t>Installation of Solar PV System</t>
    <phoneticPr fontId="3"/>
  </si>
  <si>
    <t>Cambodia</t>
    <phoneticPr fontId="3"/>
  </si>
  <si>
    <t>1. Energy industries (renewable-/non-renewable  sources)</t>
    <phoneticPr fontId="3"/>
  </si>
  <si>
    <t>Institute for Global Environmental Strategies</t>
    <phoneticPr fontId="3"/>
  </si>
  <si>
    <t>KH_PM002</t>
    <phoneticPr fontId="3"/>
  </si>
  <si>
    <t>KH_PM003</t>
  </si>
  <si>
    <t>KH_AM003</t>
    <phoneticPr fontId="3"/>
  </si>
  <si>
    <t>KH_AM004</t>
  </si>
  <si>
    <t>KH_AM005</t>
  </si>
  <si>
    <t>14. Reducing Emissions from Deforestation and Forest Degradation, and the Role of Conservation, Sustainable Management of Forests and Enhancement of Forest Carbon Stocks in Developing Countries (REDD-plus)</t>
  </si>
  <si>
    <t>Conservation International and Mitsui &amp; Co., Ltd.</t>
  </si>
  <si>
    <t>KH_PM004</t>
  </si>
  <si>
    <t>Installation of inverters to distribution pumps in water treatment plant</t>
  </si>
  <si>
    <t>KH_PM005</t>
  </si>
  <si>
    <t>LULUCF/REDD+</t>
    <phoneticPr fontId="3"/>
  </si>
  <si>
    <t>LULUCF/REDD+</t>
    <phoneticPr fontId="3"/>
  </si>
  <si>
    <t>Afforestation/Reforestation</t>
    <phoneticPr fontId="3"/>
  </si>
  <si>
    <t>Afforestation/Reforestation</t>
    <phoneticPr fontId="3"/>
  </si>
  <si>
    <t>Reducing deforestation and forest degradation through forest conservation in Cambodia</t>
    <phoneticPr fontId="3"/>
  </si>
  <si>
    <t>Introduction of High Efficiency Centrifugal Chiller</t>
    <phoneticPr fontId="3"/>
  </si>
  <si>
    <t>Public facility</t>
    <phoneticPr fontId="3"/>
  </si>
  <si>
    <t>New installation</t>
    <phoneticPr fontId="3"/>
  </si>
  <si>
    <t>Own record</t>
    <phoneticPr fontId="3"/>
  </si>
  <si>
    <r>
      <t xml:space="preserve">1. Electricity consumption by project pump during the period </t>
    </r>
    <r>
      <rPr>
        <i/>
        <sz val="12"/>
        <rFont val="Arial"/>
        <family val="2"/>
      </rPr>
      <t>p</t>
    </r>
    <r>
      <rPr>
        <sz val="12"/>
        <rFont val="Arial"/>
        <family val="2"/>
      </rPr>
      <t xml:space="preserve">
2. Operational load of project pump
3. ECR of reference pump I during the period </t>
    </r>
    <r>
      <rPr>
        <i/>
        <sz val="12"/>
        <rFont val="Arial"/>
        <family val="2"/>
      </rPr>
      <t>p</t>
    </r>
    <phoneticPr fontId="3"/>
  </si>
  <si>
    <r>
      <t xml:space="preserve">1. ECR of project pump </t>
    </r>
    <r>
      <rPr>
        <i/>
        <sz val="12"/>
        <rFont val="Arial"/>
        <family val="2"/>
      </rPr>
      <t>i</t>
    </r>
    <r>
      <rPr>
        <sz val="12"/>
        <rFont val="Arial"/>
        <family val="2"/>
      </rPr>
      <t xml:space="preserve"> during the period </t>
    </r>
    <r>
      <rPr>
        <i/>
        <sz val="12"/>
        <rFont val="Arial"/>
        <family val="2"/>
      </rPr>
      <t xml:space="preserve">p
</t>
    </r>
    <r>
      <rPr>
        <sz val="12"/>
        <rFont val="Arial"/>
        <family val="2"/>
      </rPr>
      <t xml:space="preserve">2. CO2 emission factor for consumed electricity </t>
    </r>
    <phoneticPr fontId="3"/>
  </si>
  <si>
    <t>Water Pump</t>
    <phoneticPr fontId="3"/>
  </si>
  <si>
    <t>-</t>
    <phoneticPr fontId="3"/>
  </si>
  <si>
    <t>https://www.jcm.go.jp/kh-jp/methodologies/93</t>
    <phoneticPr fontId="3"/>
  </si>
  <si>
    <t>Factory</t>
    <phoneticPr fontId="3"/>
  </si>
  <si>
    <r>
      <t xml:space="preserve">1. Power consumption of project chiller </t>
    </r>
    <r>
      <rPr>
        <i/>
        <sz val="12"/>
        <rFont val="Arial"/>
        <family val="2"/>
      </rPr>
      <t>i</t>
    </r>
    <r>
      <rPr>
        <sz val="12"/>
        <rFont val="Arial"/>
        <family val="2"/>
      </rPr>
      <t xml:space="preserve"> during the period </t>
    </r>
    <r>
      <rPr>
        <i/>
        <sz val="12"/>
        <rFont val="Arial"/>
        <family val="2"/>
      </rPr>
      <t xml:space="preserve">p
</t>
    </r>
    <r>
      <rPr>
        <sz val="12"/>
        <rFont val="Arial"/>
        <family val="2"/>
      </rPr>
      <t xml:space="preserve">2. Amount of fuel input for captive power generation during monitoring period </t>
    </r>
    <r>
      <rPr>
        <i/>
        <sz val="12"/>
        <rFont val="Arial"/>
        <family val="2"/>
      </rPr>
      <t xml:space="preserve">p
</t>
    </r>
    <r>
      <rPr>
        <sz val="12"/>
        <rFont val="Arial"/>
        <family val="2"/>
      </rPr>
      <t xml:space="preserve">3. Amount of electricity generated by captive power generation system during the period </t>
    </r>
    <r>
      <rPr>
        <i/>
        <sz val="12"/>
        <rFont val="Arial"/>
        <family val="2"/>
      </rPr>
      <t xml:space="preserve">p
</t>
    </r>
    <phoneticPr fontId="3"/>
  </si>
  <si>
    <t>1. CO2 emission factor for consumed electricity
2. Power generation efficiency
3. CO2 emission factor of the fuel consumed by the captive power generation system
4. Net calorific value of fuel consumed by the caoptive power generation system
5. Output cooling water temperature of project chiller i set under the project specific condition
6. Output chilled water temperature of project chiller i set under the project specific condition
7. COP of reference chiller i under the standardizing temperature conditions
8. COP of project chiller i under the project specific conditions
9. COP of project chiller i calculated under the standardizing temperature conditions</t>
    <phoneticPr fontId="3"/>
  </si>
  <si>
    <t>Survey</t>
    <phoneticPr fontId="3"/>
  </si>
  <si>
    <t>LULUCF/REDD+</t>
    <phoneticPr fontId="3"/>
  </si>
  <si>
    <t>LULUCF/REDD+</t>
    <phoneticPr fontId="3"/>
  </si>
  <si>
    <t>KH002</t>
    <phoneticPr fontId="8"/>
  </si>
  <si>
    <t>CR001</t>
    <phoneticPr fontId="8"/>
  </si>
  <si>
    <t>IC-2</t>
    <phoneticPr fontId="3"/>
  </si>
  <si>
    <t>IC-1</t>
    <phoneticPr fontId="3"/>
  </si>
  <si>
    <t>01 Aug 16 - 31 Jul 18</t>
    <phoneticPr fontId="3"/>
  </si>
  <si>
    <t>Monitoring period
(dd/mm/yyyy)</t>
    <phoneticPr fontId="8"/>
  </si>
  <si>
    <t>-</t>
    <phoneticPr fontId="3"/>
  </si>
  <si>
    <t>PH_AM001</t>
    <phoneticPr fontId="3"/>
  </si>
  <si>
    <t>PH_AM002</t>
    <phoneticPr fontId="3"/>
  </si>
  <si>
    <t>PH_PM002</t>
  </si>
  <si>
    <t>Electricity generation by installation of run-of-river hydro power generation system(s) in the Philippines</t>
  </si>
  <si>
    <t>PH_PM001</t>
  </si>
  <si>
    <t>Renewable energy</t>
    <phoneticPr fontId="3"/>
  </si>
  <si>
    <t>Hydro power</t>
    <phoneticPr fontId="3"/>
  </si>
  <si>
    <t>- National standard (the Philippines)
- International standard (CDM)</t>
    <phoneticPr fontId="3"/>
  </si>
  <si>
    <r>
      <t>Reference CO</t>
    </r>
    <r>
      <rPr>
        <vertAlign val="subscript"/>
        <sz val="12"/>
        <rFont val="Arial"/>
        <family val="2"/>
      </rPr>
      <t>2</t>
    </r>
    <r>
      <rPr>
        <sz val="12"/>
        <rFont val="Arial"/>
        <family val="2"/>
      </rPr>
      <t xml:space="preserve"> emission factor for the projet run-of-river hydro power generation system </t>
    </r>
    <r>
      <rPr>
        <i/>
        <sz val="12"/>
        <rFont val="Arial"/>
        <family val="2"/>
      </rPr>
      <t>i</t>
    </r>
    <phoneticPr fontId="3"/>
  </si>
  <si>
    <r>
      <t xml:space="preserve">Qantity of electricity generated by project run-of-river hydropower generation system(s) during period </t>
    </r>
    <r>
      <rPr>
        <i/>
        <sz val="12"/>
        <rFont val="Arial"/>
        <family val="2"/>
      </rPr>
      <t>p</t>
    </r>
    <phoneticPr fontId="3"/>
  </si>
  <si>
    <r>
      <t>Reference CO</t>
    </r>
    <r>
      <rPr>
        <vertAlign val="subscript"/>
        <sz val="12"/>
        <rFont val="Arial"/>
        <family val="2"/>
      </rPr>
      <t>2</t>
    </r>
    <r>
      <rPr>
        <sz val="12"/>
        <rFont val="Arial"/>
        <family val="2"/>
      </rPr>
      <t xml:space="preserve"> emission factor of grid and captive electricity (default value of 0.533 tCO</t>
    </r>
    <r>
      <rPr>
        <vertAlign val="subscript"/>
        <sz val="12"/>
        <rFont val="Arial"/>
        <family val="2"/>
      </rPr>
      <t>2</t>
    </r>
    <r>
      <rPr>
        <sz val="12"/>
        <rFont val="Arial"/>
        <family val="2"/>
      </rPr>
      <t>/MWh)</t>
    </r>
    <phoneticPr fontId="3"/>
  </si>
  <si>
    <t>Reference CO2 emission factor for the project solar PV system</t>
    <phoneticPr fontId="3"/>
  </si>
  <si>
    <t>25 Jan 17 - 31 Aug 18</t>
    <phoneticPr fontId="3"/>
  </si>
  <si>
    <t>ID010</t>
    <phoneticPr fontId="3"/>
  </si>
  <si>
    <t>ID024</t>
    <phoneticPr fontId="3"/>
  </si>
  <si>
    <t>PT. Yamaha Motor Parts Manufacturing Indonesia (YPMI)</t>
  </si>
  <si>
    <t>Toyotsu Machinery Corporation</t>
  </si>
  <si>
    <t>ID_AM009 Ver3.0</t>
  </si>
  <si>
    <t>RD</t>
    <phoneticPr fontId="3"/>
  </si>
  <si>
    <t>PT. Timuraya Tunggal</t>
  </si>
  <si>
    <t>ID_AM022 Ver1.0</t>
  </si>
  <si>
    <t>RD</t>
    <phoneticPr fontId="8"/>
  </si>
  <si>
    <t>TH009</t>
    <phoneticPr fontId="3"/>
  </si>
  <si>
    <t>Impact Electrons Siam Co., Ltd.; Impact Solar Limited</t>
  </si>
  <si>
    <t>TPE-TH-003</t>
  </si>
  <si>
    <t>S 6° 21’ 45’’, E 107° 16’ 15’’</t>
    <phoneticPr fontId="3"/>
  </si>
  <si>
    <t>TPE-ID-002 Lloyd’s Register Quality Assurance Limited</t>
    <phoneticPr fontId="3"/>
  </si>
  <si>
    <t>Cikarang Bar/Kalijaya/Jl. Kampung Gardu Sawah No. 1, Bekasi, Jawa Barat</t>
    <phoneticPr fontId="3"/>
  </si>
  <si>
    <t>West Java Province_x000D_
Karawang_x000D_</t>
    <phoneticPr fontId="3"/>
  </si>
  <si>
    <t>Registered</t>
    <phoneticPr fontId="3"/>
  </si>
  <si>
    <t>ID010</t>
    <phoneticPr fontId="8"/>
  </si>
  <si>
    <t xml:space="preserve"> 3. Energy demand</t>
    <phoneticPr fontId="3"/>
  </si>
  <si>
    <t>Energy saving through introduction of Regenerative Burners for aluminum holding furnaces of the automotive components manufacture in the Republic of Indonesia</t>
    <phoneticPr fontId="3"/>
  </si>
  <si>
    <t>Regenerative burners</t>
    <phoneticPr fontId="3"/>
  </si>
  <si>
    <t>Replacement</t>
    <phoneticPr fontId="3"/>
  </si>
  <si>
    <t>2015/8/27-2015/8/28</t>
    <phoneticPr fontId="3"/>
  </si>
  <si>
    <t>Association(s)</t>
    <phoneticPr fontId="44"/>
  </si>
  <si>
    <t xml:space="preserve">Local government officials; Association(s); </t>
    <phoneticPr fontId="3"/>
  </si>
  <si>
    <t>S 6°21’10", E 107°19’59"</t>
    <phoneticPr fontId="3"/>
  </si>
  <si>
    <t xml:space="preserve">S 6°24'54", E 107°24'51" </t>
    <phoneticPr fontId="8"/>
  </si>
  <si>
    <t>Absorption Chiller</t>
    <phoneticPr fontId="3"/>
  </si>
  <si>
    <t>ID024</t>
    <phoneticPr fontId="8"/>
  </si>
  <si>
    <t>3. Energy demand</t>
    <phoneticPr fontId="3"/>
  </si>
  <si>
    <t>JCM Secretariat</t>
    <phoneticPr fontId="8"/>
  </si>
  <si>
    <t>JC member(s)</t>
    <phoneticPr fontId="8"/>
  </si>
  <si>
    <t xml:space="preserve">Local government official(s) </t>
    <phoneticPr fontId="44"/>
  </si>
  <si>
    <t>JCM Secretariat; Central government official(s); JC member(s); Association(s); Local government official(s); Related company(ies)</t>
    <phoneticPr fontId="3"/>
  </si>
  <si>
    <t>Karawang Regency, West Java Province_x000D_
Jalan Anggidita Raya No. 2015, Desa Anggidita, Klari Sub-District, Karawang Regency 41371, West Java Province_x000D_</t>
    <phoneticPr fontId="3"/>
  </si>
  <si>
    <t>TPE-ID-003 Japan Quality Assurance Organization</t>
    <phoneticPr fontId="3"/>
  </si>
  <si>
    <t>TH009</t>
    <phoneticPr fontId="8"/>
  </si>
  <si>
    <t>Introduction of 30MW Rooftop Solar Power System to Large Supermarkets</t>
    <phoneticPr fontId="3"/>
  </si>
  <si>
    <t>Renewable energy</t>
    <phoneticPr fontId="8"/>
  </si>
  <si>
    <t>Commercial &amp; household</t>
    <phoneticPr fontId="3"/>
  </si>
  <si>
    <t>37 locations (see PDD)</t>
    <phoneticPr fontId="3"/>
  </si>
  <si>
    <t xml:space="preserve"> 1. Energy industries (renewable-/non-renewable sources)</t>
    <phoneticPr fontId="3"/>
  </si>
  <si>
    <t>JCM Secretariat; Related company(ies)</t>
    <phoneticPr fontId="3"/>
  </si>
  <si>
    <t>-</t>
    <phoneticPr fontId="3"/>
  </si>
  <si>
    <t xml:space="preserve">Introduction of Energy Saving Refrigerator and Evaporator with Mechanical Vapor Recompression in Amino Acid Producing Plant </t>
    <phoneticPr fontId="3"/>
  </si>
  <si>
    <t>Introduction of High Efficiency Air-conditioning System and Air Cooled Chillers to Hotel and Office Buildings</t>
    <phoneticPr fontId="8"/>
  </si>
  <si>
    <t>-</t>
    <phoneticPr fontId="3"/>
  </si>
  <si>
    <t>-</t>
    <phoneticPr fontId="3"/>
  </si>
  <si>
    <t>TPE-MN-004 Japan Management Association</t>
    <phoneticPr fontId="3"/>
  </si>
  <si>
    <t>MM_PM005</t>
  </si>
  <si>
    <t>MM_AM005</t>
    <phoneticPr fontId="3"/>
  </si>
  <si>
    <t>Factory</t>
    <phoneticPr fontId="3"/>
  </si>
  <si>
    <t>Waste heat recovery system</t>
    <phoneticPr fontId="44"/>
  </si>
  <si>
    <t xml:space="preserve">Waste heat recovery system </t>
    <phoneticPr fontId="3"/>
  </si>
  <si>
    <t>New installation</t>
    <phoneticPr fontId="3"/>
  </si>
  <si>
    <t>1. CO2 emission factor for consumed electricity
2. The total maximum rated capacity of equipment of the WHR system which consumes electricity except for the capacity of equipment which use the electricity generated by itself directly
3. Power generation efficiency
4. Net calorific value of consumed fuel
5. CO2 emission factor of consumed fuel</t>
    <phoneticPr fontId="3"/>
  </si>
  <si>
    <t>1. The quantity of the electricity supplied from the WHR system to the cement production facility during a given time period
2. The number of days during a given time period
3. The amount of fuel input for captive power generation during a given time period
4. The amount of electricity generated by captive power generation during a given time period</t>
    <phoneticPr fontId="3"/>
  </si>
  <si>
    <t>Own record</t>
    <phoneticPr fontId="3"/>
  </si>
  <si>
    <t>Historical situation or performance</t>
    <phoneticPr fontId="3"/>
  </si>
  <si>
    <t>Information on each methodology is available on https://www.jcm.go.jp/methodologies/all</t>
    <phoneticPr fontId="3"/>
  </si>
  <si>
    <t>n</t>
    <phoneticPr fontId="3"/>
  </si>
  <si>
    <t>Introduction of Solar PV System at Salt Factory</t>
    <phoneticPr fontId="3"/>
  </si>
  <si>
    <t>Introduction of 20MW Solar Power System in Guanajuato</t>
    <phoneticPr fontId="3"/>
  </si>
  <si>
    <t>FY2019; FY2018</t>
    <phoneticPr fontId="8"/>
  </si>
  <si>
    <t>DAIICHI JITSUGYO CO., LTD.</t>
  </si>
  <si>
    <t>Marubeni Corporation</t>
  </si>
  <si>
    <t>Acecook Co., Ltd.</t>
  </si>
  <si>
    <t>Hitachi-Johnson Controls Air
Conditioning, Inc</t>
  </si>
  <si>
    <t>Kayama Kogyo Co., Ltd.</t>
  </si>
  <si>
    <t>NiX Co., Ltd.</t>
  </si>
  <si>
    <t>The Kansai Electric Power Company,
Incorporated</t>
  </si>
  <si>
    <t>Mitsubishi Heavy Industries, Ltd.</t>
  </si>
  <si>
    <t>Ministry of Environment, the Maldives</t>
  </si>
  <si>
    <t>57MW Solar Power Project in An Giang Province</t>
  </si>
  <si>
    <t>Introduction of Biomass Co-generation system to Food Factory</t>
  </si>
  <si>
    <t>Introduction of Biomass Boiler to Soluble Coffee Manufacturing Plant</t>
  </si>
  <si>
    <t>Introduction of High Efficiency Boiler System to Food Factory</t>
  </si>
  <si>
    <t>6MW Mini Hydro Power Plant Project in West Pasaman, West Sumatra</t>
  </si>
  <si>
    <t>400MW Solar Power Project in Rabigh Region</t>
  </si>
  <si>
    <t>Greater Male Waste to Energy Project</t>
  </si>
  <si>
    <t>Renewable Energy</t>
  </si>
  <si>
    <t>FY2020</t>
    <phoneticPr fontId="3"/>
  </si>
  <si>
    <t>Introduction of High Efficiency Air-conditioning System to Hotel in Ho Chi Minh City</t>
    <phoneticPr fontId="3"/>
  </si>
  <si>
    <t>Energy Efficiency</t>
    <phoneticPr fontId="3"/>
  </si>
  <si>
    <t>29MW Binary Power Generation Project at Palayan Geothermal Power Plant</t>
    <phoneticPr fontId="3"/>
  </si>
  <si>
    <t>Introduction of Energy Saving Centrifugal Chillers to Machinery Factory</t>
    <phoneticPr fontId="3"/>
  </si>
  <si>
    <t>Yes</t>
    <phoneticPr fontId="3"/>
  </si>
  <si>
    <t>14MW Solar Power Project in Vientiane Province and Borikhamxay Province</t>
    <phoneticPr fontId="3"/>
  </si>
  <si>
    <t>Introduction of 8.1MW Rooftop Solar Power System in Motorcycle Factory and Fiber Factory</t>
    <phoneticPr fontId="3"/>
  </si>
  <si>
    <t>-</t>
    <phoneticPr fontId="3"/>
  </si>
  <si>
    <t>Solar photovoltaic (PV) system</t>
    <phoneticPr fontId="3"/>
  </si>
  <si>
    <t>Biomass Co-generation</t>
    <phoneticPr fontId="3"/>
  </si>
  <si>
    <t>Biomass Boiler</t>
    <phoneticPr fontId="3"/>
  </si>
  <si>
    <t>Boiler</t>
    <phoneticPr fontId="3"/>
  </si>
  <si>
    <t>Air conditioning systems</t>
    <phoneticPr fontId="3"/>
  </si>
  <si>
    <t>Hydropower plant</t>
    <phoneticPr fontId="3"/>
  </si>
  <si>
    <t>Chiller</t>
    <phoneticPr fontId="3"/>
  </si>
  <si>
    <t>Geothermal power plant</t>
    <phoneticPr fontId="8"/>
  </si>
  <si>
    <t>Geothermal power plant</t>
    <phoneticPr fontId="3"/>
  </si>
  <si>
    <t>Waste management &amp; biomass utilisation</t>
    <phoneticPr fontId="3"/>
  </si>
  <si>
    <t>Wind power plant</t>
    <phoneticPr fontId="3"/>
  </si>
  <si>
    <t>Co-generation system</t>
    <phoneticPr fontId="3"/>
  </si>
  <si>
    <t>Biomass boiler</t>
    <phoneticPr fontId="3"/>
  </si>
  <si>
    <t>Institute for Global Environmental Strategies (2020), IGES Joint Crediting Mechanism (JCM) Database, updated as of 08 September 2020. Available at: https://pub.iges.or.jp/pub/iges-joint-crediting-mechanism-jcm-database
All copyrights are reserved. The source must be clearly stated when this database is reproduced or transmitted in any form or by any means.</t>
    <phoneticPr fontId="8"/>
  </si>
  <si>
    <t xml:space="preserve">     Updates from the previous version: added one methodology ("Methodologies") and added newly adopted FY2020 financed projects ("Financed Projects") </t>
    <phoneticPr fontId="8"/>
  </si>
  <si>
    <r>
      <t xml:space="preserve">6. </t>
    </r>
    <r>
      <rPr>
        <b/>
        <sz val="14"/>
        <color rgb="FF000000"/>
        <rFont val="Arial"/>
        <family val="2"/>
      </rPr>
      <t>Financed Projects_summary</t>
    </r>
    <r>
      <rPr>
        <sz val="14"/>
        <color rgb="FF000000"/>
        <rFont val="Arial"/>
        <family val="2"/>
      </rPr>
      <t xml:space="preserve"> sheet shows key statistics for financed projects</t>
    </r>
    <phoneticPr fontId="8"/>
  </si>
  <si>
    <t>As of 08.September.2020: 81 approved methodologies, 64 registered projects, 35 projects issued credits, 178 financed projects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</si>
</sst>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_);[Red]\(#,##0\)"/>
    <numFmt numFmtId="179" formatCode="#,##0_ "/>
    <numFmt numFmtId="180" formatCode="0;[Red]0"/>
  </numFmts>
  <fonts count="67" x14ac:knownFonts="1">
    <font>
      <sz val="11"/>
      <color theme="1"/>
      <name val="游ゴシック"/>
      <family val="2"/>
      <charset val="128"/>
    </font>
    <font>
      <sz val="11"/>
      <color theme="1"/>
      <name val="游ゴシック"/>
      <family val="2"/>
      <charset val="128"/>
    </font>
    <font>
      <b/>
      <sz val="36"/>
      <color theme="0"/>
      <name val="Arial"/>
      <family val="2"/>
    </font>
    <font>
      <sz val="6"/>
      <name val="游ゴシック"/>
      <family val="2"/>
      <charset val="128"/>
    </font>
    <font>
      <sz val="14"/>
      <color rgb="FF000000"/>
      <name val="Arial"/>
      <family val="2"/>
    </font>
    <font>
      <i/>
      <sz val="14"/>
      <color rgb="FF000000"/>
      <name val="Arial"/>
      <family val="2"/>
    </font>
    <font>
      <b/>
      <sz val="14"/>
      <color rgb="FF000000"/>
      <name val="Arial"/>
      <family val="2"/>
    </font>
    <font>
      <sz val="14"/>
      <name val="Arial"/>
      <family val="2"/>
    </font>
    <font>
      <sz val="6"/>
      <name val="游ゴシック"/>
      <family val="3"/>
      <charset val="128"/>
      <scheme val="minor"/>
    </font>
    <font>
      <b/>
      <sz val="14"/>
      <name val="Arial"/>
      <family val="2"/>
    </font>
    <font>
      <sz val="14"/>
      <color theme="1"/>
      <name val="Arial"/>
      <family val="2"/>
    </font>
    <font>
      <sz val="11"/>
      <color theme="1"/>
      <name val="Arial"/>
      <family val="2"/>
    </font>
    <font>
      <b/>
      <sz val="14"/>
      <color theme="1"/>
      <name val="Arial"/>
      <family val="2"/>
    </font>
    <font>
      <sz val="14"/>
      <color theme="1"/>
      <name val="ＭＳ Ｐゴシック"/>
      <family val="3"/>
      <charset val="128"/>
    </font>
    <font>
      <sz val="14"/>
      <color theme="1"/>
      <name val="Segoe UI"/>
      <family val="2"/>
    </font>
    <font>
      <sz val="12"/>
      <color theme="1"/>
      <name val="Arial"/>
      <family val="2"/>
    </font>
    <font>
      <b/>
      <sz val="20"/>
      <name val="Arial"/>
      <family val="2"/>
    </font>
    <font>
      <sz val="20"/>
      <name val="Arial"/>
      <family val="2"/>
    </font>
    <font>
      <b/>
      <sz val="16"/>
      <name val="Arial"/>
      <family val="2"/>
    </font>
    <font>
      <sz val="16"/>
      <name val="Arial"/>
      <family val="2"/>
    </font>
    <font>
      <b/>
      <sz val="12"/>
      <name val="Arial"/>
      <family val="2"/>
    </font>
    <font>
      <sz val="12"/>
      <name val="Arial"/>
      <family val="2"/>
    </font>
    <font>
      <sz val="11"/>
      <name val="Arial"/>
      <family val="2"/>
    </font>
    <font>
      <vertAlign val="subscript"/>
      <sz val="12"/>
      <name val="Arial"/>
      <family val="2"/>
    </font>
    <font>
      <i/>
      <sz val="12"/>
      <name val="Arial"/>
      <family val="2"/>
    </font>
    <font>
      <b/>
      <sz val="12"/>
      <color theme="1"/>
      <name val="Arial"/>
      <family val="2"/>
    </font>
    <font>
      <sz val="12"/>
      <color rgb="FFFF0000"/>
      <name val="Arial"/>
      <family val="2"/>
    </font>
    <font>
      <vertAlign val="subscript"/>
      <sz val="12"/>
      <color theme="1"/>
      <name val="Arial"/>
      <family val="2"/>
    </font>
    <font>
      <i/>
      <sz val="12"/>
      <color theme="1"/>
      <name val="Arial"/>
      <family val="2"/>
    </font>
    <font>
      <sz val="12"/>
      <color rgb="FF00B0F0"/>
      <name val="Arial"/>
      <family val="2"/>
    </font>
    <font>
      <sz val="11"/>
      <name val="ＭＳ Ｐゴシック"/>
      <family val="3"/>
      <charset val="128"/>
    </font>
    <font>
      <sz val="12"/>
      <name val="ＭＳ Ｐゴシック"/>
      <family val="3"/>
      <charset val="128"/>
    </font>
    <font>
      <sz val="12"/>
      <name val="Segoe UI"/>
      <family val="2"/>
    </font>
    <font>
      <u/>
      <sz val="12"/>
      <color theme="1"/>
      <name val="Arial"/>
      <family val="2"/>
    </font>
    <font>
      <sz val="20"/>
      <color theme="1"/>
      <name val="Arial"/>
      <family val="2"/>
    </font>
    <font>
      <sz val="24"/>
      <color theme="1"/>
      <name val="Arial"/>
      <family val="2"/>
    </font>
    <font>
      <sz val="28"/>
      <color theme="1"/>
      <name val="Arial"/>
      <family val="2"/>
    </font>
    <font>
      <b/>
      <sz val="16"/>
      <color theme="1"/>
      <name val="Arial"/>
      <family val="2"/>
    </font>
    <font>
      <sz val="16"/>
      <color theme="1"/>
      <name val="Arial"/>
      <family val="2"/>
    </font>
    <font>
      <sz val="16"/>
      <color theme="1"/>
      <name val="ＭＳ Ｐゴシック"/>
      <family val="2"/>
    </font>
    <font>
      <b/>
      <sz val="20"/>
      <name val="Segoe UI"/>
      <family val="2"/>
    </font>
    <font>
      <sz val="16"/>
      <name val="Segoe UI"/>
      <family val="2"/>
    </font>
    <font>
      <sz val="14"/>
      <name val="Segoe UI"/>
      <family val="2"/>
    </font>
    <font>
      <b/>
      <sz val="12"/>
      <name val="Segoe UI"/>
      <family val="2"/>
    </font>
    <font>
      <sz val="6"/>
      <name val="HGPｺﾞｼｯｸM"/>
      <family val="2"/>
      <charset val="128"/>
    </font>
    <font>
      <b/>
      <sz val="15"/>
      <color theme="1"/>
      <name val="Arial"/>
      <family val="2"/>
    </font>
    <font>
      <sz val="15"/>
      <color theme="1"/>
      <name val="Arial"/>
      <family val="2"/>
    </font>
    <font>
      <b/>
      <sz val="11"/>
      <color theme="1"/>
      <name val="Arial"/>
      <family val="2"/>
    </font>
    <font>
      <sz val="8"/>
      <color theme="1"/>
      <name val="Arial"/>
      <family val="2"/>
    </font>
    <font>
      <sz val="11"/>
      <color theme="1"/>
      <name val="ＭＳ Ｐゴシック"/>
      <family val="2"/>
    </font>
    <font>
      <sz val="11"/>
      <name val="Segoe UI"/>
      <family val="2"/>
    </font>
    <font>
      <sz val="12"/>
      <color theme="1"/>
      <name val="Segoe UI"/>
      <family val="2"/>
    </font>
    <font>
      <vertAlign val="subscript"/>
      <sz val="12"/>
      <color theme="1"/>
      <name val="Segoe UI"/>
      <family val="2"/>
    </font>
    <font>
      <sz val="12"/>
      <color rgb="FFFF0000"/>
      <name val="Segoe UI"/>
      <family val="2"/>
    </font>
    <font>
      <sz val="11"/>
      <color theme="1"/>
      <name val="游ゴシック"/>
      <family val="3"/>
      <charset val="128"/>
      <scheme val="minor"/>
    </font>
    <font>
      <u/>
      <sz val="11"/>
      <color theme="10"/>
      <name val="游ゴシック"/>
      <family val="2"/>
      <scheme val="minor"/>
    </font>
    <font>
      <u/>
      <sz val="12"/>
      <color theme="10"/>
      <name val="Segoe UI"/>
      <family val="2"/>
    </font>
    <font>
      <sz val="12"/>
      <color rgb="FF000000"/>
      <name val="Segoe UI"/>
      <family val="2"/>
    </font>
    <font>
      <b/>
      <sz val="20"/>
      <color theme="1"/>
      <name val="Arial"/>
      <family val="2"/>
    </font>
    <font>
      <b/>
      <sz val="16"/>
      <color rgb="FF000000"/>
      <name val="Segoe UI"/>
      <family val="2"/>
    </font>
    <font>
      <b/>
      <sz val="12"/>
      <color rgb="FF000000"/>
      <name val="Segoe UI"/>
      <family val="2"/>
    </font>
    <font>
      <sz val="11"/>
      <color theme="1"/>
      <name val="Segoe UI"/>
      <family val="2"/>
    </font>
    <font>
      <sz val="8"/>
      <color theme="1"/>
      <name val="Segoe UI"/>
      <family val="2"/>
    </font>
    <font>
      <sz val="8"/>
      <name val="Segoe UI"/>
      <family val="2"/>
    </font>
    <font>
      <sz val="11"/>
      <color theme="1"/>
      <name val="ＭＳ Ｐゴシック"/>
      <family val="3"/>
      <charset val="128"/>
    </font>
    <font>
      <b/>
      <sz val="11"/>
      <color theme="1"/>
      <name val="游ゴシック"/>
      <family val="3"/>
      <charset val="128"/>
    </font>
    <font>
      <b/>
      <sz val="16"/>
      <color theme="0"/>
      <name val="游ゴシック"/>
      <family val="3"/>
      <charset val="128"/>
    </font>
  </fonts>
  <fills count="21">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4AADC7"/>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79">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right>
      <top/>
      <bottom/>
      <diagonal/>
    </border>
    <border>
      <left style="thin">
        <color theme="0"/>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top style="thin">
        <color theme="0"/>
      </top>
      <bottom style="thin">
        <color theme="0"/>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top style="thin">
        <color auto="1"/>
      </top>
      <bottom/>
      <diagonal/>
    </border>
    <border>
      <left/>
      <right/>
      <top style="thin">
        <color auto="1"/>
      </top>
      <bottom/>
      <diagonal/>
    </border>
    <border>
      <left style="thin">
        <color auto="1"/>
      </left>
      <right style="thin">
        <color theme="0"/>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top/>
      <bottom style="thin">
        <color theme="0"/>
      </bottom>
      <diagonal/>
    </border>
    <border>
      <left style="thin">
        <color auto="1"/>
      </left>
      <right/>
      <top style="thin">
        <color theme="0"/>
      </top>
      <bottom style="thin">
        <color auto="1"/>
      </bottom>
      <diagonal/>
    </border>
    <border>
      <left style="thin">
        <color theme="0"/>
      </left>
      <right style="thin">
        <color theme="0"/>
      </right>
      <top style="thin">
        <color theme="0"/>
      </top>
      <bottom style="thin">
        <color auto="1"/>
      </bottom>
      <diagonal/>
    </border>
    <border>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right>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auto="1"/>
      </left>
      <right style="thin">
        <color theme="0"/>
      </right>
      <top style="thin">
        <color theme="0"/>
      </top>
      <bottom/>
      <diagonal/>
    </border>
    <border>
      <left style="thin">
        <color auto="1"/>
      </left>
      <right style="thin">
        <color theme="0"/>
      </right>
      <top style="thin">
        <color theme="0"/>
      </top>
      <bottom style="thin">
        <color auto="1"/>
      </bottom>
      <diagonal/>
    </border>
    <border>
      <left style="thin">
        <color auto="1"/>
      </left>
      <right style="thin">
        <color theme="0"/>
      </right>
      <top/>
      <bottom style="thin">
        <color theme="0"/>
      </bottom>
      <diagonal/>
    </border>
    <border>
      <left/>
      <right style="thin">
        <color auto="1"/>
      </right>
      <top/>
      <bottom style="thin">
        <color auto="1"/>
      </bottom>
      <diagonal/>
    </border>
    <border>
      <left style="thin">
        <color indexed="64"/>
      </left>
      <right/>
      <top style="thin">
        <color theme="0" tint="-0.499984740745262"/>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s>
  <cellStyleXfs count="6">
    <xf numFmtId="0" fontId="0"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54" fillId="0" borderId="0">
      <alignment vertical="center"/>
    </xf>
    <xf numFmtId="0" fontId="55" fillId="0" borderId="0" applyNumberFormat="0" applyFill="0" applyBorder="0" applyAlignment="0" applyProtection="0"/>
  </cellStyleXfs>
  <cellXfs count="615">
    <xf numFmtId="0" fontId="0" fillId="0" borderId="0" xfId="0">
      <alignment vertical="center"/>
    </xf>
    <xf numFmtId="0" fontId="9" fillId="4" borderId="3" xfId="0" applyFont="1" applyFill="1" applyBorder="1" applyAlignment="1">
      <alignment horizontal="left" vertical="center" readingOrder="1"/>
    </xf>
    <xf numFmtId="0" fontId="10" fillId="4" borderId="4" xfId="0" applyFont="1" applyFill="1" applyBorder="1" applyAlignment="1">
      <alignment wrapText="1" readingOrder="1"/>
    </xf>
    <xf numFmtId="15" fontId="7" fillId="0" borderId="3" xfId="0" applyNumberFormat="1" applyFont="1" applyFill="1" applyBorder="1" applyAlignment="1"/>
    <xf numFmtId="14" fontId="7" fillId="0" borderId="4" xfId="0" applyNumberFormat="1" applyFont="1" applyFill="1" applyBorder="1" applyAlignment="1">
      <alignment wrapText="1" readingOrder="1"/>
    </xf>
    <xf numFmtId="0" fontId="7" fillId="4" borderId="4" xfId="0" applyFont="1" applyFill="1" applyBorder="1" applyAlignment="1">
      <alignment wrapText="1" readingOrder="1"/>
    </xf>
    <xf numFmtId="0" fontId="4" fillId="3" borderId="3" xfId="0" applyFont="1" applyFill="1" applyBorder="1" applyAlignment="1">
      <alignment horizontal="left" vertical="center" readingOrder="1"/>
    </xf>
    <xf numFmtId="0" fontId="10" fillId="3" borderId="4" xfId="0" applyFont="1" applyFill="1" applyBorder="1" applyAlignment="1">
      <alignment wrapText="1" readingOrder="1"/>
    </xf>
    <xf numFmtId="0" fontId="9" fillId="5" borderId="3" xfId="0" applyFont="1" applyFill="1" applyBorder="1" applyAlignment="1">
      <alignment horizontal="left" vertical="center" readingOrder="1"/>
    </xf>
    <xf numFmtId="0" fontId="9" fillId="6" borderId="4" xfId="0" applyFont="1" applyFill="1" applyBorder="1" applyAlignment="1">
      <alignment horizontal="left" vertical="center"/>
    </xf>
    <xf numFmtId="0" fontId="6" fillId="3" borderId="3" xfId="0" applyFont="1" applyFill="1" applyBorder="1" applyAlignment="1">
      <alignment horizontal="left" vertical="center" readingOrder="1"/>
    </xf>
    <xf numFmtId="0" fontId="6" fillId="3" borderId="4" xfId="0" applyFont="1" applyFill="1" applyBorder="1" applyAlignment="1">
      <alignment horizontal="left" vertical="center" wrapText="1" readingOrder="1"/>
    </xf>
    <xf numFmtId="0" fontId="4" fillId="3" borderId="3" xfId="0" applyFont="1" applyFill="1" applyBorder="1" applyAlignment="1">
      <alignment vertical="center" wrapText="1" readingOrder="1"/>
    </xf>
    <xf numFmtId="0" fontId="4" fillId="3" borderId="4" xfId="0" applyFont="1" applyFill="1" applyBorder="1" applyAlignment="1">
      <alignment vertical="center" readingOrder="1"/>
    </xf>
    <xf numFmtId="0" fontId="10" fillId="3" borderId="3" xfId="0" applyFont="1" applyFill="1" applyBorder="1" applyAlignment="1"/>
    <xf numFmtId="0" fontId="4" fillId="3" borderId="4" xfId="0" applyFont="1" applyFill="1" applyBorder="1" applyAlignment="1">
      <alignment horizontal="left" vertical="center" wrapText="1" readingOrder="1"/>
    </xf>
    <xf numFmtId="0" fontId="10" fillId="3" borderId="3" xfId="0" applyFont="1" applyFill="1" applyBorder="1" applyAlignment="1">
      <alignment vertical="top"/>
    </xf>
    <xf numFmtId="0" fontId="11" fillId="0" borderId="3" xfId="0" applyFont="1" applyBorder="1" applyAlignment="1"/>
    <xf numFmtId="0" fontId="12" fillId="3" borderId="4" xfId="0" applyFont="1" applyFill="1" applyBorder="1" applyAlignment="1"/>
    <xf numFmtId="0" fontId="10" fillId="3" borderId="4" xfId="0" applyFont="1" applyFill="1" applyBorder="1" applyAlignment="1">
      <alignment horizontal="left" vertical="top" readingOrder="1"/>
    </xf>
    <xf numFmtId="0" fontId="12" fillId="3" borderId="4" xfId="0" applyFont="1" applyFill="1" applyBorder="1" applyAlignment="1">
      <alignment wrapText="1" readingOrder="1"/>
    </xf>
    <xf numFmtId="0" fontId="10" fillId="3" borderId="4" xfId="0" applyFont="1" applyFill="1" applyBorder="1" applyAlignment="1">
      <alignment vertical="top" wrapText="1" readingOrder="1"/>
    </xf>
    <xf numFmtId="0" fontId="10" fillId="3" borderId="3" xfId="0" applyFont="1" applyFill="1" applyBorder="1" applyAlignment="1">
      <alignment wrapText="1"/>
    </xf>
    <xf numFmtId="0" fontId="11" fillId="0" borderId="4" xfId="0" applyFont="1" applyBorder="1" applyAlignment="1"/>
    <xf numFmtId="0" fontId="6" fillId="3" borderId="3" xfId="0" applyFont="1" applyFill="1" applyBorder="1" applyAlignment="1">
      <alignment horizontal="left" readingOrder="1"/>
    </xf>
    <xf numFmtId="0" fontId="10" fillId="3" borderId="3" xfId="0" applyFont="1" applyFill="1" applyBorder="1" applyAlignment="1">
      <alignment vertical="top" wrapText="1"/>
    </xf>
    <xf numFmtId="0" fontId="6" fillId="3" borderId="3" xfId="0" applyFont="1" applyFill="1" applyBorder="1" applyAlignment="1">
      <alignment horizontal="left" vertical="top" readingOrder="1"/>
    </xf>
    <xf numFmtId="0" fontId="12" fillId="3" borderId="4" xfId="0" applyFont="1" applyFill="1" applyBorder="1" applyAlignment="1">
      <alignment vertical="top" wrapText="1" readingOrder="1"/>
    </xf>
    <xf numFmtId="0" fontId="10" fillId="3" borderId="3" xfId="0" applyFont="1" applyFill="1" applyBorder="1" applyAlignment="1">
      <alignment horizontal="left" vertical="top" wrapText="1"/>
    </xf>
    <xf numFmtId="0" fontId="6" fillId="3" borderId="4" xfId="0" applyFont="1" applyFill="1" applyBorder="1" applyAlignment="1">
      <alignment horizontal="left" vertical="center" readingOrder="1"/>
    </xf>
    <xf numFmtId="0" fontId="12" fillId="3" borderId="4" xfId="0" applyFont="1" applyFill="1" applyBorder="1" applyAlignment="1">
      <alignment horizontal="left" vertical="top" wrapText="1" readingOrder="1"/>
    </xf>
    <xf numFmtId="0" fontId="4" fillId="3" borderId="4" xfId="0" applyFont="1" applyFill="1" applyBorder="1" applyAlignment="1">
      <alignment vertical="center" wrapText="1" readingOrder="1"/>
    </xf>
    <xf numFmtId="0" fontId="12" fillId="3" borderId="4" xfId="0" applyFont="1" applyFill="1" applyBorder="1" applyAlignment="1">
      <alignment horizontal="left" readingOrder="1"/>
    </xf>
    <xf numFmtId="0" fontId="10" fillId="3" borderId="3" xfId="0" applyFont="1" applyFill="1" applyBorder="1" applyAlignment="1">
      <alignment horizontal="left" wrapText="1"/>
    </xf>
    <xf numFmtId="0" fontId="10" fillId="3" borderId="4" xfId="0" applyFont="1" applyFill="1" applyBorder="1" applyAlignment="1"/>
    <xf numFmtId="0" fontId="12" fillId="3" borderId="4" xfId="0" applyFont="1" applyFill="1" applyBorder="1" applyAlignment="1">
      <alignment vertical="top" readingOrder="1"/>
    </xf>
    <xf numFmtId="0" fontId="10" fillId="3" borderId="4" xfId="0" applyFont="1" applyFill="1" applyBorder="1" applyAlignment="1">
      <alignment horizontal="left" vertical="top" wrapText="1" readingOrder="1"/>
    </xf>
    <xf numFmtId="0" fontId="6" fillId="3" borderId="4" xfId="0" applyFont="1" applyFill="1" applyBorder="1" applyAlignment="1">
      <alignment horizontal="left" readingOrder="1"/>
    </xf>
    <xf numFmtId="0" fontId="10" fillId="3" borderId="4" xfId="0" applyFont="1" applyFill="1" applyBorder="1" applyAlignment="1">
      <alignment vertical="top" wrapText="1"/>
    </xf>
    <xf numFmtId="0" fontId="10" fillId="0" borderId="4" xfId="0" applyFont="1" applyFill="1" applyBorder="1" applyAlignment="1"/>
    <xf numFmtId="0" fontId="6" fillId="3" borderId="3" xfId="0" applyFont="1" applyFill="1" applyBorder="1" applyAlignment="1">
      <alignment horizontal="left" wrapText="1" readingOrder="1"/>
    </xf>
    <xf numFmtId="0" fontId="4" fillId="3" borderId="4" xfId="0" applyFont="1" applyFill="1" applyBorder="1" applyAlignment="1">
      <alignment vertical="top" wrapText="1" readingOrder="1"/>
    </xf>
    <xf numFmtId="0" fontId="12" fillId="3" borderId="4" xfId="0" applyFont="1" applyFill="1" applyBorder="1" applyAlignment="1">
      <alignment horizontal="left" wrapText="1" readingOrder="1"/>
    </xf>
    <xf numFmtId="0" fontId="12" fillId="0" borderId="4" xfId="0" applyFont="1" applyFill="1" applyBorder="1" applyAlignment="1"/>
    <xf numFmtId="0" fontId="15" fillId="0" borderId="3" xfId="0" applyFont="1" applyBorder="1" applyAlignment="1"/>
    <xf numFmtId="0" fontId="15" fillId="0" borderId="4" xfId="0" applyFont="1" applyBorder="1" applyAlignment="1">
      <alignment wrapText="1" readingOrder="1"/>
    </xf>
    <xf numFmtId="0" fontId="10" fillId="3" borderId="5" xfId="0" applyFont="1" applyFill="1" applyBorder="1" applyAlignment="1"/>
    <xf numFmtId="0" fontId="15" fillId="0" borderId="6" xfId="0" applyFont="1" applyBorder="1" applyAlignment="1">
      <alignment wrapText="1" readingOrder="1"/>
    </xf>
    <xf numFmtId="0" fontId="16" fillId="7" borderId="7" xfId="0" applyFont="1" applyFill="1" applyBorder="1" applyAlignment="1">
      <alignment vertical="center"/>
    </xf>
    <xf numFmtId="0" fontId="16" fillId="7" borderId="8" xfId="0" applyFont="1" applyFill="1" applyBorder="1" applyAlignment="1">
      <alignment vertical="center"/>
    </xf>
    <xf numFmtId="0" fontId="17" fillId="7" borderId="8" xfId="0" applyFont="1" applyFill="1" applyBorder="1" applyAlignment="1">
      <alignment vertical="center"/>
    </xf>
    <xf numFmtId="14" fontId="17" fillId="7" borderId="8" xfId="0" applyNumberFormat="1" applyFont="1" applyFill="1" applyBorder="1" applyAlignment="1">
      <alignment vertical="center"/>
    </xf>
    <xf numFmtId="14" fontId="17" fillId="7" borderId="9" xfId="0" applyNumberFormat="1" applyFont="1" applyFill="1" applyBorder="1" applyAlignment="1">
      <alignment vertical="center"/>
    </xf>
    <xf numFmtId="0" fontId="7" fillId="7" borderId="10" xfId="0" applyFont="1" applyFill="1" applyBorder="1" applyAlignment="1">
      <alignment vertical="center"/>
    </xf>
    <xf numFmtId="0" fontId="18" fillId="7" borderId="0" xfId="0" applyFont="1" applyFill="1" applyBorder="1" applyAlignment="1">
      <alignment vertical="center"/>
    </xf>
    <xf numFmtId="0" fontId="19" fillId="7" borderId="0" xfId="0" applyFont="1" applyFill="1" applyBorder="1" applyAlignment="1">
      <alignment vertical="center"/>
    </xf>
    <xf numFmtId="0" fontId="19" fillId="7" borderId="11" xfId="0" applyFont="1" applyFill="1" applyBorder="1" applyAlignment="1">
      <alignment vertical="center"/>
    </xf>
    <xf numFmtId="14" fontId="19" fillId="7" borderId="0" xfId="0" applyNumberFormat="1" applyFont="1" applyFill="1" applyBorder="1" applyAlignment="1">
      <alignment vertical="center"/>
    </xf>
    <xf numFmtId="14" fontId="19" fillId="7" borderId="11" xfId="0" applyNumberFormat="1" applyFont="1" applyFill="1" applyBorder="1" applyAlignment="1">
      <alignment vertical="center"/>
    </xf>
    <xf numFmtId="14" fontId="19" fillId="7" borderId="12" xfId="0" applyNumberFormat="1" applyFont="1" applyFill="1" applyBorder="1" applyAlignment="1">
      <alignment vertical="center"/>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9" fillId="5" borderId="8" xfId="0" applyFont="1" applyFill="1" applyBorder="1" applyAlignment="1">
      <alignment horizontal="center" vertical="center"/>
    </xf>
    <xf numFmtId="0" fontId="20" fillId="7" borderId="16"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17"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0"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8" borderId="15" xfId="0"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14" fontId="20" fillId="8" borderId="26" xfId="0" applyNumberFormat="1" applyFont="1" applyFill="1" applyBorder="1" applyAlignment="1">
      <alignment horizontal="center" vertical="center" wrapText="1"/>
    </xf>
    <xf numFmtId="0" fontId="20" fillId="8" borderId="26" xfId="0" applyFont="1" applyFill="1" applyBorder="1" applyAlignment="1">
      <alignment horizontal="center" vertical="center" wrapText="1"/>
    </xf>
    <xf numFmtId="0" fontId="21" fillId="0" borderId="26" xfId="0" applyFont="1" applyFill="1" applyBorder="1" applyAlignment="1">
      <alignment vertical="center" wrapText="1"/>
    </xf>
    <xf numFmtId="0" fontId="21" fillId="0" borderId="27" xfId="0" applyFont="1" applyFill="1" applyBorder="1" applyAlignment="1">
      <alignment vertical="center" wrapText="1"/>
    </xf>
    <xf numFmtId="0" fontId="21" fillId="0" borderId="10" xfId="0" applyFont="1" applyFill="1" applyBorder="1" applyAlignment="1">
      <alignment vertical="center" wrapText="1"/>
    </xf>
    <xf numFmtId="0" fontId="21" fillId="0" borderId="26" xfId="0" applyFont="1" applyBorder="1" applyAlignment="1">
      <alignment vertical="center" wrapText="1"/>
    </xf>
    <xf numFmtId="0" fontId="21" fillId="0" borderId="12" xfId="0" applyFont="1" applyFill="1" applyBorder="1" applyAlignment="1">
      <alignment vertical="center" wrapText="1"/>
    </xf>
    <xf numFmtId="14" fontId="21" fillId="0" borderId="27" xfId="0" applyNumberFormat="1" applyFont="1" applyFill="1" applyBorder="1" applyAlignment="1">
      <alignment vertical="center" wrapText="1"/>
    </xf>
    <xf numFmtId="0" fontId="21" fillId="0" borderId="27" xfId="0" applyFont="1" applyFill="1" applyBorder="1" applyAlignment="1">
      <alignment horizontal="center" vertical="center" wrapText="1"/>
    </xf>
    <xf numFmtId="0" fontId="21" fillId="0" borderId="27" xfId="0" quotePrefix="1" applyFont="1" applyFill="1" applyBorder="1" applyAlignment="1">
      <alignment vertical="center" wrapText="1"/>
    </xf>
    <xf numFmtId="0" fontId="21" fillId="3" borderId="26" xfId="0" applyFont="1" applyFill="1" applyBorder="1" applyAlignment="1">
      <alignment vertical="center" wrapText="1"/>
    </xf>
    <xf numFmtId="0" fontId="22" fillId="0" borderId="27" xfId="0" applyFont="1" applyFill="1" applyBorder="1" applyAlignment="1">
      <alignment horizontal="center" vertical="center"/>
    </xf>
    <xf numFmtId="0" fontId="21" fillId="0" borderId="26" xfId="0" quotePrefix="1" applyFont="1" applyFill="1" applyBorder="1" applyAlignment="1">
      <alignment vertical="center" wrapText="1"/>
    </xf>
    <xf numFmtId="0" fontId="22" fillId="0" borderId="26" xfId="0" applyFont="1" applyFill="1" applyBorder="1" applyAlignment="1">
      <alignment vertical="center"/>
    </xf>
    <xf numFmtId="0" fontId="15" fillId="0" borderId="26" xfId="0" applyFont="1" applyFill="1" applyBorder="1" applyAlignment="1">
      <alignment vertical="center" wrapText="1"/>
    </xf>
    <xf numFmtId="14" fontId="15" fillId="0" borderId="26" xfId="0" applyNumberFormat="1" applyFont="1" applyFill="1" applyBorder="1" applyAlignment="1">
      <alignment vertical="center" wrapText="1"/>
    </xf>
    <xf numFmtId="0" fontId="15" fillId="0" borderId="26" xfId="0" quotePrefix="1" applyFont="1" applyFill="1" applyBorder="1" applyAlignment="1">
      <alignment vertical="center" wrapText="1"/>
    </xf>
    <xf numFmtId="0" fontId="15" fillId="3" borderId="26" xfId="0" applyFont="1" applyFill="1" applyBorder="1" applyAlignment="1">
      <alignment vertical="center" wrapText="1"/>
    </xf>
    <xf numFmtId="14" fontId="15" fillId="3" borderId="26" xfId="0" applyNumberFormat="1" applyFont="1" applyFill="1" applyBorder="1" applyAlignment="1">
      <alignment vertical="center" wrapText="1"/>
    </xf>
    <xf numFmtId="0" fontId="21" fillId="3" borderId="19" xfId="0" applyFont="1" applyFill="1" applyBorder="1" applyAlignment="1">
      <alignment vertical="center" wrapText="1"/>
    </xf>
    <xf numFmtId="0" fontId="21" fillId="3" borderId="21" xfId="0" applyFont="1" applyFill="1" applyBorder="1" applyAlignment="1">
      <alignment vertical="center" wrapText="1"/>
    </xf>
    <xf numFmtId="14" fontId="21" fillId="3" borderId="26" xfId="0" applyNumberFormat="1" applyFont="1" applyFill="1" applyBorder="1" applyAlignment="1">
      <alignment vertical="center" wrapText="1"/>
    </xf>
    <xf numFmtId="0" fontId="21" fillId="3" borderId="26" xfId="0" applyFont="1" applyFill="1" applyBorder="1" applyAlignment="1">
      <alignment horizontal="center" vertical="center" wrapText="1"/>
    </xf>
    <xf numFmtId="0" fontId="21" fillId="3" borderId="26" xfId="0" quotePrefix="1" applyFont="1" applyFill="1" applyBorder="1" applyAlignment="1">
      <alignment vertical="center" wrapText="1"/>
    </xf>
    <xf numFmtId="0" fontId="22" fillId="3" borderId="26" xfId="0" applyFont="1" applyFill="1" applyBorder="1" applyAlignment="1">
      <alignment horizontal="center" vertical="center"/>
    </xf>
    <xf numFmtId="0" fontId="22" fillId="3" borderId="26" xfId="0" applyFont="1" applyFill="1" applyBorder="1" applyAlignment="1">
      <alignment vertical="center"/>
    </xf>
    <xf numFmtId="0" fontId="15" fillId="3" borderId="26" xfId="0" quotePrefix="1" applyFont="1" applyFill="1" applyBorder="1" applyAlignment="1">
      <alignment vertical="center" wrapText="1"/>
    </xf>
    <xf numFmtId="0" fontId="21" fillId="0" borderId="21" xfId="0" applyFont="1" applyFill="1" applyBorder="1" applyAlignment="1">
      <alignment vertical="center" wrapText="1"/>
    </xf>
    <xf numFmtId="14" fontId="21" fillId="0" borderId="26" xfId="0" applyNumberFormat="1" applyFont="1" applyFill="1" applyBorder="1" applyAlignment="1">
      <alignment vertical="center" wrapText="1"/>
    </xf>
    <xf numFmtId="0" fontId="21" fillId="0" borderId="26" xfId="0" applyFont="1" applyFill="1" applyBorder="1" applyAlignment="1">
      <alignment horizontal="center" vertical="center" wrapText="1"/>
    </xf>
    <xf numFmtId="0" fontId="21" fillId="0" borderId="19" xfId="0" applyFont="1" applyFill="1" applyBorder="1" applyAlignment="1">
      <alignment vertical="center" wrapText="1"/>
    </xf>
    <xf numFmtId="14" fontId="15" fillId="3" borderId="26" xfId="0" quotePrefix="1" applyNumberFormat="1" applyFont="1" applyFill="1" applyBorder="1" applyAlignment="1">
      <alignment vertical="center" wrapText="1"/>
    </xf>
    <xf numFmtId="0" fontId="25" fillId="0" borderId="26" xfId="0" applyFont="1" applyFill="1" applyBorder="1" applyAlignment="1">
      <alignment vertical="center" wrapText="1"/>
    </xf>
    <xf numFmtId="14" fontId="25" fillId="0" borderId="26" xfId="0" applyNumberFormat="1" applyFont="1" applyFill="1" applyBorder="1" applyAlignment="1">
      <alignment vertical="center" wrapText="1"/>
    </xf>
    <xf numFmtId="0" fontId="21" fillId="0" borderId="0" xfId="0" applyFont="1" applyAlignment="1">
      <alignment vertical="center"/>
    </xf>
    <xf numFmtId="0" fontId="21" fillId="0" borderId="28" xfId="0" applyFont="1" applyFill="1" applyBorder="1" applyAlignment="1">
      <alignment vertical="center" wrapText="1"/>
    </xf>
    <xf numFmtId="14" fontId="29" fillId="3" borderId="26" xfId="0" applyNumberFormat="1" applyFont="1" applyFill="1" applyBorder="1" applyAlignment="1">
      <alignment vertical="center" wrapText="1"/>
    </xf>
    <xf numFmtId="0" fontId="21" fillId="0" borderId="29" xfId="0" applyFont="1" applyFill="1" applyBorder="1" applyAlignment="1">
      <alignment vertical="center" wrapText="1"/>
    </xf>
    <xf numFmtId="14" fontId="21" fillId="0" borderId="29" xfId="0" applyNumberFormat="1" applyFont="1" applyFill="1" applyBorder="1" applyAlignment="1">
      <alignment vertical="center" wrapText="1"/>
    </xf>
    <xf numFmtId="0" fontId="21" fillId="0" borderId="29" xfId="0" applyFont="1" applyFill="1" applyBorder="1" applyAlignment="1">
      <alignment horizontal="center" vertical="center" wrapText="1"/>
    </xf>
    <xf numFmtId="0" fontId="21" fillId="3" borderId="26" xfId="3" applyFont="1" applyFill="1" applyBorder="1" applyAlignment="1">
      <alignment vertical="center" wrapText="1"/>
    </xf>
    <xf numFmtId="0" fontId="21" fillId="0" borderId="21" xfId="3" applyFont="1" applyFill="1" applyBorder="1" applyAlignment="1">
      <alignment vertical="center" wrapText="1"/>
    </xf>
    <xf numFmtId="14" fontId="15" fillId="3" borderId="0" xfId="0" applyNumberFormat="1" applyFont="1" applyFill="1" applyBorder="1" applyAlignment="1">
      <alignment horizontal="left" vertical="center"/>
    </xf>
    <xf numFmtId="14" fontId="15" fillId="0" borderId="26" xfId="0" quotePrefix="1" applyNumberFormat="1" applyFont="1" applyFill="1" applyBorder="1" applyAlignment="1">
      <alignment vertical="center" wrapText="1"/>
    </xf>
    <xf numFmtId="0" fontId="26" fillId="0" borderId="26" xfId="0" quotePrefix="1" applyFont="1" applyFill="1" applyBorder="1" applyAlignment="1">
      <alignment vertical="center" wrapText="1"/>
    </xf>
    <xf numFmtId="14" fontId="26" fillId="0" borderId="26" xfId="0" quotePrefix="1" applyNumberFormat="1" applyFont="1" applyFill="1" applyBorder="1" applyAlignment="1">
      <alignment vertical="center" wrapText="1"/>
    </xf>
    <xf numFmtId="14" fontId="26" fillId="0" borderId="26" xfId="0" applyNumberFormat="1" applyFont="1" applyFill="1" applyBorder="1" applyAlignment="1">
      <alignment vertical="center" wrapText="1"/>
    </xf>
    <xf numFmtId="0" fontId="21" fillId="0" borderId="26" xfId="0" applyFont="1" applyFill="1" applyBorder="1" applyAlignment="1">
      <alignment vertical="center"/>
    </xf>
    <xf numFmtId="14" fontId="21" fillId="0" borderId="26" xfId="0" applyNumberFormat="1" applyFont="1" applyFill="1" applyBorder="1" applyAlignment="1">
      <alignment vertical="center"/>
    </xf>
    <xf numFmtId="0" fontId="21" fillId="0" borderId="21" xfId="0" quotePrefix="1" applyFont="1" applyFill="1" applyBorder="1" applyAlignment="1">
      <alignment vertical="center" wrapText="1"/>
    </xf>
    <xf numFmtId="0" fontId="21" fillId="0" borderId="19" xfId="0" quotePrefix="1" applyFont="1" applyFill="1" applyBorder="1" applyAlignment="1">
      <alignment vertical="center" wrapText="1"/>
    </xf>
    <xf numFmtId="0" fontId="21" fillId="3" borderId="15" xfId="0" applyFont="1" applyFill="1" applyBorder="1" applyAlignment="1">
      <alignment vertical="center" wrapText="1"/>
    </xf>
    <xf numFmtId="0" fontId="21" fillId="3" borderId="21" xfId="0" quotePrefix="1" applyFont="1" applyFill="1" applyBorder="1" applyAlignment="1">
      <alignment vertical="center" wrapText="1"/>
    </xf>
    <xf numFmtId="0" fontId="21" fillId="0" borderId="15" xfId="0" applyFont="1" applyFill="1" applyBorder="1" applyAlignment="1">
      <alignment vertical="center" wrapText="1"/>
    </xf>
    <xf numFmtId="0" fontId="21" fillId="3" borderId="29" xfId="0" applyFont="1" applyFill="1" applyBorder="1" applyAlignment="1">
      <alignment vertical="center" wrapText="1"/>
    </xf>
    <xf numFmtId="0" fontId="21" fillId="0" borderId="7" xfId="0" applyFont="1" applyFill="1" applyBorder="1" applyAlignment="1">
      <alignment vertical="center" wrapText="1"/>
    </xf>
    <xf numFmtId="0" fontId="21" fillId="0" borderId="9" xfId="0" applyFont="1" applyFill="1" applyBorder="1" applyAlignment="1">
      <alignment vertical="center" wrapText="1"/>
    </xf>
    <xf numFmtId="0" fontId="21" fillId="3" borderId="29" xfId="0" quotePrefix="1" applyFont="1" applyFill="1" applyBorder="1" applyAlignment="1">
      <alignment vertical="center" wrapText="1"/>
    </xf>
    <xf numFmtId="0" fontId="21" fillId="3" borderId="29" xfId="0" applyFont="1" applyFill="1" applyBorder="1" applyAlignment="1">
      <alignment vertical="center"/>
    </xf>
    <xf numFmtId="0" fontId="21" fillId="0" borderId="7" xfId="0" quotePrefix="1" applyFont="1" applyFill="1" applyBorder="1" applyAlignment="1">
      <alignment vertical="center" wrapText="1"/>
    </xf>
    <xf numFmtId="0" fontId="21" fillId="0" borderId="14" xfId="0" applyFont="1" applyFill="1" applyBorder="1" applyAlignment="1">
      <alignment vertical="center" wrapText="1"/>
    </xf>
    <xf numFmtId="0" fontId="21" fillId="0" borderId="9" xfId="0" quotePrefix="1" applyFont="1" applyFill="1" applyBorder="1" applyAlignment="1">
      <alignment vertical="center" wrapText="1"/>
    </xf>
    <xf numFmtId="0" fontId="21" fillId="0" borderId="0" xfId="0" applyFont="1" applyFill="1" applyBorder="1" applyAlignment="1">
      <alignment vertical="center" wrapText="1"/>
    </xf>
    <xf numFmtId="0" fontId="21" fillId="0" borderId="29" xfId="0" quotePrefix="1" applyFont="1" applyFill="1" applyBorder="1" applyAlignment="1">
      <alignment vertical="center" wrapText="1"/>
    </xf>
    <xf numFmtId="0" fontId="15" fillId="0" borderId="29" xfId="0" applyFont="1" applyFill="1" applyBorder="1" applyAlignment="1">
      <alignment vertical="center" wrapText="1"/>
    </xf>
    <xf numFmtId="14" fontId="15" fillId="0" borderId="29" xfId="0" applyNumberFormat="1" applyFont="1" applyFill="1" applyBorder="1" applyAlignment="1">
      <alignment vertical="center" wrapText="1"/>
    </xf>
    <xf numFmtId="0" fontId="15" fillId="0" borderId="29" xfId="0" quotePrefix="1" applyFont="1" applyFill="1" applyBorder="1" applyAlignment="1">
      <alignment vertical="center" wrapText="1"/>
    </xf>
    <xf numFmtId="0" fontId="15" fillId="3" borderId="29" xfId="0" applyFont="1" applyFill="1" applyBorder="1" applyAlignment="1">
      <alignment vertical="center" wrapText="1"/>
    </xf>
    <xf numFmtId="14" fontId="15" fillId="3" borderId="29" xfId="0" applyNumberFormat="1" applyFont="1" applyFill="1" applyBorder="1" applyAlignment="1">
      <alignment vertical="center" wrapText="1"/>
    </xf>
    <xf numFmtId="0" fontId="21" fillId="3" borderId="26" xfId="0" applyFont="1" applyFill="1" applyBorder="1" applyAlignment="1">
      <alignment vertical="center"/>
    </xf>
    <xf numFmtId="0" fontId="21" fillId="0" borderId="26" xfId="0" applyFont="1" applyFill="1" applyBorder="1" applyAlignment="1">
      <alignment horizontal="center" vertical="center"/>
    </xf>
    <xf numFmtId="0" fontId="26" fillId="0" borderId="26" xfId="0" applyFont="1" applyFill="1" applyBorder="1" applyAlignment="1">
      <alignment vertical="center"/>
    </xf>
    <xf numFmtId="14" fontId="26" fillId="0" borderId="26" xfId="0" applyNumberFormat="1" applyFont="1" applyFill="1" applyBorder="1" applyAlignment="1">
      <alignment vertical="center"/>
    </xf>
    <xf numFmtId="0" fontId="26" fillId="0" borderId="26" xfId="0" applyFont="1" applyFill="1" applyBorder="1" applyAlignment="1">
      <alignment vertical="center" wrapText="1"/>
    </xf>
    <xf numFmtId="0" fontId="11" fillId="0" borderId="33" xfId="0" applyFont="1" applyBorder="1" applyAlignment="1"/>
    <xf numFmtId="0" fontId="11" fillId="0" borderId="32" xfId="0" applyFont="1" applyBorder="1" applyAlignment="1"/>
    <xf numFmtId="0" fontId="11" fillId="0" borderId="34" xfId="0" applyFont="1" applyBorder="1" applyAlignment="1"/>
    <xf numFmtId="0" fontId="15" fillId="0" borderId="33" xfId="0" applyFont="1" applyFill="1" applyBorder="1" applyAlignment="1"/>
    <xf numFmtId="0" fontId="15" fillId="0" borderId="33" xfId="0" applyFont="1" applyFill="1" applyBorder="1" applyAlignment="1">
      <alignment horizontal="center"/>
    </xf>
    <xf numFmtId="0" fontId="15" fillId="0" borderId="31" xfId="0" applyFont="1" applyFill="1" applyBorder="1" applyAlignment="1">
      <alignment horizontal="center"/>
    </xf>
    <xf numFmtId="0" fontId="15" fillId="0" borderId="35" xfId="0" applyFont="1" applyFill="1" applyBorder="1" applyAlignment="1">
      <alignment horizontal="center"/>
    </xf>
    <xf numFmtId="0" fontId="15" fillId="0" borderId="34" xfId="0" applyFont="1" applyFill="1" applyBorder="1" applyAlignment="1">
      <alignment horizontal="center"/>
    </xf>
    <xf numFmtId="0" fontId="11" fillId="0" borderId="36" xfId="0" applyFont="1" applyBorder="1" applyAlignment="1"/>
    <xf numFmtId="0" fontId="12" fillId="8" borderId="37" xfId="0" applyFont="1" applyFill="1" applyBorder="1" applyAlignment="1">
      <alignment vertical="center"/>
    </xf>
    <xf numFmtId="0" fontId="12" fillId="8" borderId="38" xfId="0" applyFont="1" applyFill="1" applyBorder="1" applyAlignment="1">
      <alignment vertical="center"/>
    </xf>
    <xf numFmtId="0" fontId="12" fillId="8" borderId="39" xfId="0" applyFont="1" applyFill="1" applyBorder="1" applyAlignment="1">
      <alignment vertical="center"/>
    </xf>
    <xf numFmtId="0" fontId="11" fillId="0" borderId="40" xfId="0" applyFont="1" applyBorder="1" applyAlignment="1"/>
    <xf numFmtId="0" fontId="11" fillId="0" borderId="30" xfId="0" applyFont="1" applyBorder="1" applyAlignment="1"/>
    <xf numFmtId="0" fontId="11" fillId="0" borderId="41" xfId="0" applyFont="1" applyBorder="1" applyAlignment="1"/>
    <xf numFmtId="0" fontId="15" fillId="0" borderId="42" xfId="0" applyFont="1" applyFill="1" applyBorder="1" applyAlignment="1"/>
    <xf numFmtId="0" fontId="15" fillId="7" borderId="42" xfId="0" applyFont="1" applyFill="1" applyBorder="1" applyAlignment="1">
      <alignment horizontal="center" vertical="center"/>
    </xf>
    <xf numFmtId="0" fontId="15" fillId="7" borderId="42" xfId="0" applyFont="1" applyFill="1" applyBorder="1" applyAlignment="1">
      <alignment horizontal="center" vertical="center" wrapText="1"/>
    </xf>
    <xf numFmtId="0" fontId="15" fillId="0" borderId="42" xfId="0" applyFont="1" applyFill="1" applyBorder="1" applyAlignment="1">
      <alignment horizontal="center"/>
    </xf>
    <xf numFmtId="0" fontId="15" fillId="7" borderId="42" xfId="0" applyFont="1" applyFill="1" applyBorder="1" applyAlignment="1">
      <alignment horizontal="center"/>
    </xf>
    <xf numFmtId="0" fontId="12" fillId="8" borderId="43" xfId="0" applyFont="1" applyFill="1" applyBorder="1" applyAlignment="1">
      <alignment vertical="center"/>
    </xf>
    <xf numFmtId="0" fontId="37" fillId="8" borderId="44" xfId="0" applyFont="1" applyFill="1" applyBorder="1" applyAlignment="1">
      <alignment vertical="center"/>
    </xf>
    <xf numFmtId="0" fontId="37" fillId="8" borderId="38" xfId="0" applyFont="1" applyFill="1" applyBorder="1" applyAlignment="1">
      <alignment vertical="center"/>
    </xf>
    <xf numFmtId="0" fontId="37" fillId="8" borderId="39" xfId="0" applyFont="1" applyFill="1" applyBorder="1" applyAlignment="1">
      <alignment vertical="center"/>
    </xf>
    <xf numFmtId="0" fontId="11" fillId="8" borderId="44" xfId="0" applyFont="1" applyFill="1" applyBorder="1" applyAlignment="1"/>
    <xf numFmtId="0" fontId="11" fillId="0" borderId="35" xfId="0" applyFont="1" applyBorder="1" applyAlignment="1"/>
    <xf numFmtId="0" fontId="12" fillId="8" borderId="42" xfId="0" applyFont="1" applyFill="1" applyBorder="1" applyAlignment="1">
      <alignment vertical="center"/>
    </xf>
    <xf numFmtId="0" fontId="38" fillId="8" borderId="42" xfId="0" applyFont="1" applyFill="1" applyBorder="1" applyAlignment="1"/>
    <xf numFmtId="0" fontId="11" fillId="0" borderId="45" xfId="0" applyFont="1" applyBorder="1" applyAlignment="1"/>
    <xf numFmtId="0" fontId="38" fillId="0" borderId="42"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42" xfId="0" applyFont="1" applyBorder="1" applyAlignment="1"/>
    <xf numFmtId="0" fontId="38" fillId="0" borderId="42" xfId="0" applyFont="1" applyBorder="1" applyAlignment="1">
      <alignment horizontal="center"/>
    </xf>
    <xf numFmtId="176" fontId="38" fillId="0" borderId="42" xfId="0" applyNumberFormat="1" applyFont="1" applyBorder="1" applyAlignment="1">
      <alignment horizontal="center"/>
    </xf>
    <xf numFmtId="177" fontId="38" fillId="0" borderId="42" xfId="0" applyNumberFormat="1" applyFont="1" applyBorder="1" applyAlignment="1">
      <alignment horizontal="center"/>
    </xf>
    <xf numFmtId="0" fontId="12" fillId="8" borderId="48" xfId="0" applyFont="1" applyFill="1" applyBorder="1" applyAlignment="1">
      <alignment vertical="center"/>
    </xf>
    <xf numFmtId="0" fontId="12" fillId="8" borderId="46" xfId="0" applyFont="1" applyFill="1" applyBorder="1" applyAlignment="1">
      <alignment vertical="center"/>
    </xf>
    <xf numFmtId="0" fontId="12" fillId="8" borderId="44" xfId="0" applyFont="1" applyFill="1" applyBorder="1" applyAlignment="1">
      <alignment vertical="center" wrapText="1"/>
    </xf>
    <xf numFmtId="0" fontId="12" fillId="8" borderId="39" xfId="0" applyFont="1" applyFill="1" applyBorder="1" applyAlignment="1">
      <alignment vertical="center" wrapText="1"/>
    </xf>
    <xf numFmtId="0" fontId="11" fillId="0" borderId="31" xfId="0" applyFont="1" applyBorder="1" applyAlignment="1"/>
    <xf numFmtId="0" fontId="34" fillId="7" borderId="49" xfId="0" applyFont="1" applyFill="1" applyBorder="1" applyAlignment="1"/>
    <xf numFmtId="0" fontId="35" fillId="7" borderId="50" xfId="0" applyFont="1" applyFill="1" applyBorder="1" applyAlignment="1"/>
    <xf numFmtId="0" fontId="36" fillId="7" borderId="51" xfId="0" applyFont="1" applyFill="1" applyBorder="1" applyAlignment="1"/>
    <xf numFmtId="0" fontId="36" fillId="7" borderId="52" xfId="0" applyFont="1" applyFill="1" applyBorder="1" applyAlignment="1"/>
    <xf numFmtId="0" fontId="11" fillId="0" borderId="53" xfId="0" applyFont="1" applyBorder="1" applyAlignment="1"/>
    <xf numFmtId="0" fontId="11" fillId="0" borderId="54" xfId="0" applyFont="1" applyBorder="1" applyAlignment="1"/>
    <xf numFmtId="0" fontId="11" fillId="0" borderId="55" xfId="0" applyFont="1" applyBorder="1" applyAlignment="1"/>
    <xf numFmtId="0" fontId="11" fillId="0" borderId="56" xfId="0" applyFont="1" applyBorder="1" applyAlignment="1"/>
    <xf numFmtId="0" fontId="11" fillId="0" borderId="57" xfId="0" applyFont="1" applyBorder="1" applyAlignment="1"/>
    <xf numFmtId="0" fontId="37" fillId="0" borderId="56" xfId="0" applyFont="1" applyFill="1" applyBorder="1" applyAlignment="1">
      <alignment vertical="center"/>
    </xf>
    <xf numFmtId="0" fontId="11" fillId="0" borderId="58" xfId="0" applyFont="1" applyBorder="1" applyAlignment="1"/>
    <xf numFmtId="0" fontId="11" fillId="0" borderId="59" xfId="0" applyFont="1" applyBorder="1" applyAlignment="1"/>
    <xf numFmtId="0" fontId="11" fillId="0" borderId="60" xfId="0" applyFont="1" applyBorder="1" applyAlignment="1"/>
    <xf numFmtId="0" fontId="11" fillId="0" borderId="61" xfId="0" applyFont="1" applyBorder="1" applyAlignment="1"/>
    <xf numFmtId="0" fontId="11" fillId="0" borderId="62" xfId="0" applyFont="1" applyBorder="1" applyAlignment="1"/>
    <xf numFmtId="0" fontId="41" fillId="10" borderId="52" xfId="0" applyFont="1" applyFill="1" applyBorder="1" applyAlignment="1">
      <alignment vertical="center"/>
    </xf>
    <xf numFmtId="0" fontId="42" fillId="9" borderId="0" xfId="0" applyFont="1" applyFill="1" applyBorder="1" applyAlignment="1">
      <alignment horizontal="left" vertical="center"/>
    </xf>
    <xf numFmtId="0" fontId="43" fillId="10" borderId="64" xfId="0" applyFont="1" applyFill="1" applyBorder="1" applyAlignment="1">
      <alignment horizontal="center" vertical="center"/>
    </xf>
    <xf numFmtId="0" fontId="43" fillId="9" borderId="14" xfId="0" applyFont="1" applyFill="1" applyBorder="1" applyAlignment="1">
      <alignment vertical="center" wrapText="1"/>
    </xf>
    <xf numFmtId="0" fontId="43" fillId="9" borderId="63" xfId="0" applyFont="1" applyFill="1" applyBorder="1" applyAlignment="1">
      <alignment vertical="center" wrapText="1"/>
    </xf>
    <xf numFmtId="0" fontId="43" fillId="9" borderId="52" xfId="0" applyFont="1" applyFill="1" applyBorder="1" applyAlignment="1">
      <alignment vertical="center" wrapText="1"/>
    </xf>
    <xf numFmtId="0" fontId="43" fillId="9" borderId="52" xfId="0" applyFont="1" applyFill="1" applyBorder="1" applyAlignment="1">
      <alignment horizontal="center" vertical="center" wrapText="1"/>
    </xf>
    <xf numFmtId="0" fontId="43" fillId="9" borderId="18" xfId="0" applyFont="1" applyFill="1" applyBorder="1" applyAlignment="1">
      <alignment vertical="center" wrapText="1"/>
    </xf>
    <xf numFmtId="0" fontId="43" fillId="9" borderId="16" xfId="0" applyFont="1" applyFill="1" applyBorder="1" applyAlignment="1">
      <alignment vertical="center" wrapText="1"/>
    </xf>
    <xf numFmtId="0" fontId="43" fillId="9" borderId="65" xfId="0" applyFont="1" applyFill="1" applyBorder="1" applyAlignment="1">
      <alignment vertical="center" wrapText="1"/>
    </xf>
    <xf numFmtId="0" fontId="43" fillId="9" borderId="17" xfId="0" applyFont="1" applyFill="1" applyBorder="1" applyAlignment="1">
      <alignment vertical="center" wrapText="1"/>
    </xf>
    <xf numFmtId="0" fontId="43" fillId="9" borderId="16" xfId="0" applyFont="1" applyFill="1" applyBorder="1" applyAlignment="1">
      <alignment vertical="center"/>
    </xf>
    <xf numFmtId="0" fontId="43" fillId="9" borderId="65" xfId="0" applyFont="1" applyFill="1" applyBorder="1" applyAlignment="1">
      <alignment vertical="center"/>
    </xf>
    <xf numFmtId="0" fontId="43" fillId="9" borderId="17" xfId="0" applyFont="1" applyFill="1" applyBorder="1" applyAlignment="1">
      <alignment vertical="center"/>
    </xf>
    <xf numFmtId="0" fontId="41" fillId="9" borderId="15" xfId="0" applyFont="1" applyFill="1" applyBorder="1" applyAlignment="1">
      <alignment horizontal="left" vertical="center"/>
    </xf>
    <xf numFmtId="14" fontId="43" fillId="9" borderId="16" xfId="0" applyNumberFormat="1" applyFont="1" applyFill="1" applyBorder="1" applyAlignment="1">
      <alignment vertical="center"/>
    </xf>
    <xf numFmtId="14" fontId="43" fillId="9" borderId="65" xfId="0" applyNumberFormat="1" applyFont="1" applyFill="1" applyBorder="1" applyAlignment="1">
      <alignment vertical="center"/>
    </xf>
    <xf numFmtId="0" fontId="43" fillId="10" borderId="65" xfId="0" applyFont="1" applyFill="1" applyBorder="1" applyAlignment="1">
      <alignment horizontal="center" vertical="center"/>
    </xf>
    <xf numFmtId="0" fontId="43" fillId="9" borderId="23" xfId="0" applyFont="1" applyFill="1" applyBorder="1" applyAlignment="1">
      <alignment horizontal="center" vertical="center" wrapText="1"/>
    </xf>
    <xf numFmtId="0" fontId="43" fillId="9" borderId="66" xfId="0" applyFont="1" applyFill="1" applyBorder="1" applyAlignment="1">
      <alignment horizontal="center" vertical="center" wrapText="1"/>
    </xf>
    <xf numFmtId="0" fontId="43" fillId="11" borderId="15"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9" borderId="67" xfId="0" applyFont="1" applyFill="1" applyBorder="1" applyAlignment="1">
      <alignment horizontal="center" vertical="center" wrapText="1"/>
    </xf>
    <xf numFmtId="0" fontId="43" fillId="11" borderId="14" xfId="0" applyFont="1" applyFill="1" applyBorder="1" applyAlignment="1">
      <alignment horizontal="center" vertical="center" wrapText="1"/>
    </xf>
    <xf numFmtId="0" fontId="43" fillId="0" borderId="14" xfId="0" applyFont="1" applyFill="1" applyBorder="1" applyAlignment="1">
      <alignment horizontal="center" vertical="center" wrapText="1"/>
    </xf>
    <xf numFmtId="14" fontId="43" fillId="11" borderId="14" xfId="0" applyNumberFormat="1" applyFont="1" applyFill="1" applyBorder="1" applyAlignment="1">
      <alignment horizontal="center" vertical="center" wrapText="1"/>
    </xf>
    <xf numFmtId="0" fontId="43" fillId="11" borderId="14" xfId="0" applyNumberFormat="1" applyFont="1" applyFill="1" applyBorder="1" applyAlignment="1">
      <alignment horizontal="center" vertical="center" wrapText="1"/>
    </xf>
    <xf numFmtId="0" fontId="43" fillId="10" borderId="16" xfId="0" applyFont="1" applyFill="1" applyBorder="1" applyAlignment="1">
      <alignment horizontal="center" vertical="center" wrapText="1"/>
    </xf>
    <xf numFmtId="0" fontId="32" fillId="3" borderId="26" xfId="0" applyFont="1" applyFill="1" applyBorder="1" applyAlignment="1">
      <alignment horizontal="left" vertical="center" wrapText="1"/>
    </xf>
    <xf numFmtId="0" fontId="32" fillId="0" borderId="26" xfId="0" applyFont="1" applyBorder="1" applyAlignment="1">
      <alignment vertical="center" wrapText="1"/>
    </xf>
    <xf numFmtId="0" fontId="32" fillId="0" borderId="26" xfId="0" applyFont="1" applyFill="1" applyBorder="1" applyAlignment="1">
      <alignment vertical="center"/>
    </xf>
    <xf numFmtId="0" fontId="32" fillId="3" borderId="26" xfId="0" applyFont="1" applyFill="1" applyBorder="1" applyAlignment="1">
      <alignment horizontal="center" vertical="center"/>
    </xf>
    <xf numFmtId="14" fontId="32" fillId="3" borderId="26" xfId="0" applyNumberFormat="1" applyFont="1" applyFill="1" applyBorder="1" applyAlignment="1">
      <alignment horizontal="center" vertical="center" wrapText="1"/>
    </xf>
    <xf numFmtId="0" fontId="32" fillId="0" borderId="26" xfId="0" applyFont="1" applyFill="1" applyBorder="1" applyAlignment="1">
      <alignment horizontal="center" vertical="center"/>
    </xf>
    <xf numFmtId="0" fontId="32" fillId="0" borderId="26" xfId="0" applyNumberFormat="1" applyFont="1" applyBorder="1" applyAlignment="1">
      <alignment vertical="center" wrapText="1"/>
    </xf>
    <xf numFmtId="0" fontId="32" fillId="3" borderId="26" xfId="0" quotePrefix="1" applyFont="1" applyFill="1" applyBorder="1" applyAlignment="1">
      <alignment horizontal="center" vertical="center"/>
    </xf>
    <xf numFmtId="176" fontId="32" fillId="3" borderId="26" xfId="0" applyNumberFormat="1" applyFont="1" applyFill="1" applyBorder="1" applyAlignment="1">
      <alignment horizontal="center" vertical="center" wrapText="1"/>
    </xf>
    <xf numFmtId="0" fontId="32" fillId="3" borderId="26" xfId="0" quotePrefix="1" applyFont="1" applyFill="1" applyBorder="1" applyAlignment="1">
      <alignment horizontal="center" vertical="center" wrapText="1"/>
    </xf>
    <xf numFmtId="178" fontId="32" fillId="3" borderId="26" xfId="0" applyNumberFormat="1" applyFont="1" applyFill="1" applyBorder="1" applyAlignment="1">
      <alignment horizontal="right" vertical="center" wrapText="1"/>
    </xf>
    <xf numFmtId="178" fontId="32" fillId="0" borderId="26" xfId="2" applyNumberFormat="1" applyFont="1" applyFill="1" applyBorder="1" applyAlignment="1">
      <alignment horizontal="right" vertical="center" wrapText="1"/>
    </xf>
    <xf numFmtId="178" fontId="32" fillId="3" borderId="26" xfId="2" applyNumberFormat="1" applyFont="1" applyFill="1" applyBorder="1" applyAlignment="1">
      <alignment horizontal="right" vertical="center" wrapText="1"/>
    </xf>
    <xf numFmtId="0" fontId="32" fillId="0" borderId="26" xfId="0" applyFont="1" applyBorder="1" applyAlignment="1">
      <alignment vertical="center"/>
    </xf>
    <xf numFmtId="14" fontId="32" fillId="3" borderId="17" xfId="0" quotePrefix="1" applyNumberFormat="1"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0" borderId="15" xfId="0" applyFont="1" applyBorder="1" applyAlignment="1">
      <alignment horizontal="center" vertical="center" wrapText="1"/>
    </xf>
    <xf numFmtId="0" fontId="32" fillId="3" borderId="26" xfId="0" quotePrefix="1" applyFont="1" applyFill="1" applyBorder="1" applyAlignment="1">
      <alignment horizontal="left" vertical="center" wrapText="1"/>
    </xf>
    <xf numFmtId="14" fontId="32" fillId="0" borderId="26" xfId="0" applyNumberFormat="1" applyFont="1" applyBorder="1" applyAlignment="1">
      <alignment horizontal="center" vertical="center" wrapText="1"/>
    </xf>
    <xf numFmtId="0" fontId="32" fillId="0" borderId="26" xfId="0" quotePrefix="1" applyFont="1" applyFill="1" applyBorder="1" applyAlignment="1">
      <alignment horizontal="left" vertical="center" wrapText="1"/>
    </xf>
    <xf numFmtId="14" fontId="32" fillId="0" borderId="26" xfId="0" quotePrefix="1" applyNumberFormat="1" applyFont="1" applyFill="1" applyBorder="1" applyAlignment="1">
      <alignment horizontal="center" vertical="center" wrapText="1"/>
    </xf>
    <xf numFmtId="1" fontId="32" fillId="0" borderId="26" xfId="0" quotePrefix="1" applyNumberFormat="1" applyFont="1" applyFill="1" applyBorder="1" applyAlignment="1">
      <alignment horizontal="center" vertical="center" wrapText="1"/>
    </xf>
    <xf numFmtId="0" fontId="32" fillId="0" borderId="26" xfId="0" quotePrefix="1" applyFont="1" applyFill="1" applyBorder="1" applyAlignment="1">
      <alignment horizontal="center" vertical="center" wrapText="1"/>
    </xf>
    <xf numFmtId="0" fontId="32" fillId="3" borderId="17" xfId="0" quotePrefix="1" applyFont="1" applyFill="1" applyBorder="1" applyAlignment="1">
      <alignment horizontal="center" vertical="center" wrapText="1"/>
    </xf>
    <xf numFmtId="0" fontId="32" fillId="3" borderId="15" xfId="0" quotePrefix="1" applyFont="1" applyFill="1" applyBorder="1" applyAlignment="1">
      <alignment horizontal="center" vertical="center" wrapText="1"/>
    </xf>
    <xf numFmtId="0" fontId="32" fillId="0" borderId="26" xfId="0" applyFont="1" applyBorder="1" applyAlignment="1">
      <alignment horizontal="left" vertical="center" wrapText="1"/>
    </xf>
    <xf numFmtId="0" fontId="32" fillId="0" borderId="26" xfId="0" applyFont="1" applyBorder="1" applyAlignment="1">
      <alignment horizontal="center" vertical="center" wrapText="1"/>
    </xf>
    <xf numFmtId="0" fontId="32" fillId="0" borderId="26" xfId="0" quotePrefix="1" applyFont="1" applyBorder="1" applyAlignment="1">
      <alignment horizontal="center" vertical="center"/>
    </xf>
    <xf numFmtId="0" fontId="32" fillId="0" borderId="26" xfId="0" applyFont="1" applyFill="1" applyBorder="1" applyAlignment="1">
      <alignment horizontal="left" vertical="center" wrapText="1"/>
    </xf>
    <xf numFmtId="1" fontId="32" fillId="0" borderId="26" xfId="0" applyNumberFormat="1" applyFont="1" applyFill="1" applyBorder="1" applyAlignment="1">
      <alignment horizontal="center" vertical="center" wrapText="1"/>
    </xf>
    <xf numFmtId="0" fontId="32" fillId="0" borderId="26" xfId="0" applyFont="1" applyBorder="1" applyAlignment="1">
      <alignment horizontal="center" vertical="center"/>
    </xf>
    <xf numFmtId="178" fontId="32" fillId="0" borderId="26" xfId="0" applyNumberFormat="1" applyFont="1" applyBorder="1" applyAlignment="1">
      <alignment horizontal="right" vertical="center"/>
    </xf>
    <xf numFmtId="0" fontId="32" fillId="0" borderId="17" xfId="0" applyFont="1" applyBorder="1" applyAlignment="1">
      <alignment vertical="center"/>
    </xf>
    <xf numFmtId="0" fontId="32" fillId="0" borderId="15" xfId="0" applyFont="1" applyBorder="1" applyAlignment="1">
      <alignment vertical="center"/>
    </xf>
    <xf numFmtId="0" fontId="32" fillId="0" borderId="26" xfId="0" applyFont="1" applyFill="1" applyBorder="1" applyAlignment="1">
      <alignment vertical="center" wrapText="1"/>
    </xf>
    <xf numFmtId="14" fontId="32" fillId="0" borderId="26" xfId="0" applyNumberFormat="1" applyFont="1" applyBorder="1" applyAlignment="1">
      <alignment horizontal="center" vertical="center"/>
    </xf>
    <xf numFmtId="14" fontId="32" fillId="0" borderId="17" xfId="0" applyNumberFormat="1" applyFont="1" applyBorder="1" applyAlignment="1">
      <alignment horizontal="center" vertical="center"/>
    </xf>
    <xf numFmtId="14" fontId="32" fillId="0" borderId="26" xfId="0" applyNumberFormat="1" applyFont="1" applyFill="1" applyBorder="1" applyAlignment="1">
      <alignment horizontal="center" vertical="center" wrapText="1"/>
    </xf>
    <xf numFmtId="0" fontId="32" fillId="0" borderId="26" xfId="0" applyFont="1" applyFill="1" applyBorder="1" applyAlignment="1">
      <alignment horizontal="center" vertical="center" wrapText="1"/>
    </xf>
    <xf numFmtId="14" fontId="32" fillId="0" borderId="26" xfId="0" applyNumberFormat="1" applyFont="1" applyFill="1" applyBorder="1" applyAlignment="1">
      <alignment horizontal="center" vertical="center"/>
    </xf>
    <xf numFmtId="0" fontId="32" fillId="0" borderId="26" xfId="0" quotePrefix="1" applyFont="1" applyFill="1" applyBorder="1" applyAlignment="1">
      <alignment horizontal="center" vertical="center"/>
    </xf>
    <xf numFmtId="178" fontId="32" fillId="0" borderId="26" xfId="0" applyNumberFormat="1" applyFont="1" applyFill="1" applyBorder="1" applyAlignment="1">
      <alignment horizontal="right" vertical="center" wrapText="1"/>
    </xf>
    <xf numFmtId="0" fontId="32" fillId="0" borderId="17" xfId="0" applyFont="1" applyFill="1" applyBorder="1" applyAlignment="1">
      <alignment vertical="center"/>
    </xf>
    <xf numFmtId="0" fontId="32" fillId="0" borderId="15" xfId="0" applyFont="1" applyFill="1" applyBorder="1" applyAlignment="1">
      <alignment vertical="center"/>
    </xf>
    <xf numFmtId="176" fontId="32" fillId="0" borderId="26" xfId="0" applyNumberFormat="1" applyFont="1" applyFill="1" applyBorder="1" applyAlignment="1">
      <alignment horizontal="center" vertical="center" wrapText="1"/>
    </xf>
    <xf numFmtId="178" fontId="32" fillId="0" borderId="26" xfId="0" applyNumberFormat="1" applyFont="1" applyFill="1" applyBorder="1" applyAlignment="1">
      <alignment horizontal="right" vertical="center"/>
    </xf>
    <xf numFmtId="0" fontId="32" fillId="3" borderId="26" xfId="0" applyFont="1" applyFill="1" applyBorder="1" applyAlignment="1">
      <alignment vertical="center" wrapText="1"/>
    </xf>
    <xf numFmtId="0" fontId="32" fillId="3" borderId="26" xfId="0" quotePrefix="1" applyFont="1" applyFill="1" applyBorder="1" applyAlignment="1">
      <alignment vertical="center" wrapText="1"/>
    </xf>
    <xf numFmtId="14" fontId="32" fillId="3" borderId="26" xfId="0" quotePrefix="1" applyNumberFormat="1" applyFont="1" applyFill="1" applyBorder="1" applyAlignment="1">
      <alignment horizontal="center" vertical="center" wrapText="1"/>
    </xf>
    <xf numFmtId="0" fontId="32" fillId="0" borderId="26" xfId="0" applyFont="1" applyFill="1" applyBorder="1" applyAlignment="1">
      <alignment horizontal="right" vertical="center" wrapText="1"/>
    </xf>
    <xf numFmtId="0" fontId="32" fillId="0" borderId="26" xfId="0" quotePrefix="1" applyFont="1" applyBorder="1" applyAlignment="1">
      <alignment horizontal="center" vertical="center" wrapText="1"/>
    </xf>
    <xf numFmtId="178" fontId="32" fillId="0" borderId="26" xfId="0" applyNumberFormat="1" applyFont="1" applyBorder="1" applyAlignment="1">
      <alignment vertical="center"/>
    </xf>
    <xf numFmtId="0" fontId="32" fillId="3" borderId="26" xfId="0" applyFont="1" applyFill="1" applyBorder="1" applyAlignment="1">
      <alignment horizontal="right" vertical="center" wrapText="1"/>
    </xf>
    <xf numFmtId="0" fontId="32" fillId="0" borderId="26" xfId="0" applyNumberFormat="1" applyFont="1" applyFill="1" applyBorder="1" applyAlignment="1">
      <alignment horizontal="center" vertical="center"/>
    </xf>
    <xf numFmtId="14" fontId="32" fillId="0" borderId="26" xfId="0" quotePrefix="1" applyNumberFormat="1" applyFont="1" applyFill="1" applyBorder="1" applyAlignment="1">
      <alignment horizontal="center" vertical="center"/>
    </xf>
    <xf numFmtId="14" fontId="32" fillId="0" borderId="17" xfId="0" quotePrefix="1" applyNumberFormat="1" applyFont="1" applyFill="1" applyBorder="1" applyAlignment="1">
      <alignment horizontal="center" vertical="center" wrapText="1"/>
    </xf>
    <xf numFmtId="0" fontId="32" fillId="0" borderId="26" xfId="0" quotePrefix="1" applyNumberFormat="1" applyFont="1" applyFill="1" applyBorder="1" applyAlignment="1">
      <alignment horizontal="center" vertical="center" wrapText="1"/>
    </xf>
    <xf numFmtId="14" fontId="32" fillId="0" borderId="26" xfId="0" applyNumberFormat="1" applyFont="1" applyFill="1" applyBorder="1" applyAlignment="1">
      <alignment horizontal="left" vertical="center" wrapText="1"/>
    </xf>
    <xf numFmtId="14" fontId="32" fillId="0" borderId="17" xfId="0" applyNumberFormat="1" applyFont="1" applyFill="1" applyBorder="1" applyAlignment="1">
      <alignment vertical="center"/>
    </xf>
    <xf numFmtId="14" fontId="32" fillId="0" borderId="15" xfId="0" applyNumberFormat="1" applyFont="1" applyFill="1" applyBorder="1" applyAlignment="1">
      <alignment horizontal="left" vertical="center" wrapText="1"/>
    </xf>
    <xf numFmtId="14" fontId="32" fillId="0" borderId="26" xfId="0" applyNumberFormat="1" applyFont="1" applyBorder="1" applyAlignment="1">
      <alignment horizontal="left" vertical="center" wrapText="1"/>
    </xf>
    <xf numFmtId="0" fontId="32" fillId="0" borderId="26" xfId="0" applyNumberFormat="1" applyFont="1" applyFill="1" applyBorder="1" applyAlignment="1">
      <alignment horizontal="center" vertical="center" wrapText="1"/>
    </xf>
    <xf numFmtId="0" fontId="45" fillId="11" borderId="37" xfId="0" applyFont="1" applyFill="1" applyBorder="1" applyAlignment="1"/>
    <xf numFmtId="0" fontId="46" fillId="11" borderId="38" xfId="0" applyFont="1" applyFill="1" applyBorder="1" applyAlignment="1"/>
    <xf numFmtId="0" fontId="46" fillId="11" borderId="39" xfId="0" applyFont="1" applyFill="1" applyBorder="1" applyAlignment="1"/>
    <xf numFmtId="0" fontId="45" fillId="11" borderId="43" xfId="0" applyFont="1" applyFill="1" applyBorder="1" applyAlignment="1">
      <alignment vertical="center"/>
    </xf>
    <xf numFmtId="0" fontId="46" fillId="11" borderId="48" xfId="0" applyFont="1" applyFill="1" applyBorder="1" applyAlignment="1"/>
    <xf numFmtId="0" fontId="46" fillId="11" borderId="46" xfId="0" applyFont="1" applyFill="1" applyBorder="1" applyAlignment="1"/>
    <xf numFmtId="0" fontId="47" fillId="11" borderId="37" xfId="0" applyFont="1" applyFill="1" applyBorder="1" applyAlignment="1">
      <alignment vertical="center"/>
    </xf>
    <xf numFmtId="0" fontId="46" fillId="0" borderId="32" xfId="0" applyFont="1" applyBorder="1" applyAlignment="1"/>
    <xf numFmtId="0" fontId="11" fillId="9" borderId="47" xfId="0" applyFont="1" applyFill="1" applyBorder="1" applyAlignment="1"/>
    <xf numFmtId="0" fontId="11" fillId="9" borderId="47" xfId="0" applyFont="1" applyFill="1" applyBorder="1" applyAlignment="1">
      <alignment horizontal="center" vertical="center" wrapText="1"/>
    </xf>
    <xf numFmtId="0" fontId="11" fillId="0" borderId="42" xfId="0" applyFont="1" applyBorder="1" applyAlignment="1"/>
    <xf numFmtId="0" fontId="11" fillId="9" borderId="42" xfId="0" applyFont="1" applyFill="1" applyBorder="1" applyAlignment="1"/>
    <xf numFmtId="0" fontId="45" fillId="12" borderId="37" xfId="0" applyFont="1" applyFill="1" applyBorder="1" applyAlignment="1"/>
    <xf numFmtId="0" fontId="11" fillId="12" borderId="48" xfId="0" applyFont="1" applyFill="1" applyBorder="1" applyAlignment="1"/>
    <xf numFmtId="0" fontId="11" fillId="12" borderId="44" xfId="0" applyFont="1" applyFill="1" applyBorder="1" applyAlignment="1"/>
    <xf numFmtId="0" fontId="11" fillId="12" borderId="38" xfId="0" applyFont="1" applyFill="1" applyBorder="1" applyAlignment="1"/>
    <xf numFmtId="0" fontId="48" fillId="12" borderId="38" xfId="0" quotePrefix="1" applyFont="1" applyFill="1" applyBorder="1" applyAlignment="1">
      <alignment horizontal="left" vertical="center" wrapText="1"/>
    </xf>
    <xf numFmtId="0" fontId="11" fillId="12" borderId="39" xfId="0" applyFont="1" applyFill="1" applyBorder="1" applyAlignment="1"/>
    <xf numFmtId="0" fontId="11" fillId="9" borderId="42" xfId="0" applyFont="1" applyFill="1" applyBorder="1" applyAlignment="1">
      <alignment horizontal="center"/>
    </xf>
    <xf numFmtId="0" fontId="11" fillId="11" borderId="48" xfId="0" applyFont="1" applyFill="1" applyBorder="1" applyAlignment="1"/>
    <xf numFmtId="0" fontId="11" fillId="11" borderId="44" xfId="0" applyFont="1" applyFill="1" applyBorder="1" applyAlignment="1"/>
    <xf numFmtId="0" fontId="11" fillId="11" borderId="38" xfId="0" applyFont="1" applyFill="1" applyBorder="1" applyAlignment="1"/>
    <xf numFmtId="0" fontId="48" fillId="11" borderId="38" xfId="0" quotePrefix="1" applyFont="1" applyFill="1" applyBorder="1" applyAlignment="1">
      <alignment horizontal="left" vertical="center" wrapText="1"/>
    </xf>
    <xf numFmtId="0" fontId="11" fillId="11" borderId="39" xfId="0" applyFont="1" applyFill="1" applyBorder="1" applyAlignment="1"/>
    <xf numFmtId="179" fontId="11" fillId="0" borderId="42" xfId="0" applyNumberFormat="1" applyFont="1" applyBorder="1" applyAlignment="1"/>
    <xf numFmtId="0" fontId="11" fillId="0" borderId="68" xfId="0" applyFont="1" applyBorder="1" applyAlignment="1"/>
    <xf numFmtId="179" fontId="11" fillId="0" borderId="68" xfId="0" applyNumberFormat="1" applyFont="1" applyBorder="1" applyAlignment="1"/>
    <xf numFmtId="0" fontId="11" fillId="9" borderId="68" xfId="0" applyFont="1" applyFill="1" applyBorder="1" applyAlignment="1"/>
    <xf numFmtId="179" fontId="11" fillId="9" borderId="68" xfId="0" applyNumberFormat="1" applyFont="1" applyFill="1" applyBorder="1" applyAlignment="1"/>
    <xf numFmtId="0" fontId="48" fillId="11" borderId="39" xfId="0" applyFont="1" applyFill="1" applyBorder="1" applyAlignment="1">
      <alignment horizontal="left" vertical="center" wrapText="1"/>
    </xf>
    <xf numFmtId="0" fontId="48" fillId="0" borderId="35" xfId="0" applyFont="1" applyBorder="1" applyAlignment="1">
      <alignment vertical="center"/>
    </xf>
    <xf numFmtId="0" fontId="48" fillId="0" borderId="33" xfId="0" applyFont="1" applyBorder="1" applyAlignment="1">
      <alignment vertical="center"/>
    </xf>
    <xf numFmtId="0" fontId="48" fillId="0" borderId="33" xfId="0" applyFont="1" applyFill="1" applyBorder="1" applyAlignment="1">
      <alignment horizontal="left" vertical="center" wrapText="1"/>
    </xf>
    <xf numFmtId="0" fontId="48" fillId="3" borderId="33" xfId="0" quotePrefix="1" applyFont="1" applyFill="1" applyBorder="1" applyAlignment="1">
      <alignment horizontal="left" vertical="center" wrapText="1"/>
    </xf>
    <xf numFmtId="0" fontId="48" fillId="0" borderId="33" xfId="0" quotePrefix="1" applyFont="1" applyBorder="1" applyAlignment="1">
      <alignment vertical="center"/>
    </xf>
    <xf numFmtId="0" fontId="48" fillId="3" borderId="33" xfId="0" applyFont="1" applyFill="1" applyBorder="1" applyAlignment="1">
      <alignment horizontal="left" vertical="center" wrapText="1"/>
    </xf>
    <xf numFmtId="0" fontId="48" fillId="0" borderId="30" xfId="0" applyFont="1" applyBorder="1" applyAlignment="1">
      <alignment vertical="center"/>
    </xf>
    <xf numFmtId="0" fontId="11" fillId="0" borderId="69" xfId="0" applyFont="1" applyBorder="1" applyAlignment="1"/>
    <xf numFmtId="0" fontId="11" fillId="0" borderId="42" xfId="0" applyFont="1" applyBorder="1" applyAlignment="1">
      <alignment horizontal="center" vertical="center" wrapText="1"/>
    </xf>
    <xf numFmtId="0" fontId="11" fillId="0" borderId="42" xfId="0" applyFont="1" applyBorder="1" applyAlignment="1">
      <alignment horizontal="center" vertical="center"/>
    </xf>
    <xf numFmtId="176" fontId="11" fillId="0" borderId="42" xfId="0" applyNumberFormat="1" applyFont="1" applyBorder="1" applyAlignment="1"/>
    <xf numFmtId="0" fontId="34" fillId="9" borderId="63" xfId="0" applyFont="1" applyFill="1" applyBorder="1" applyAlignment="1"/>
    <xf numFmtId="0" fontId="11" fillId="9" borderId="52" xfId="0" applyFont="1" applyFill="1" applyBorder="1" applyAlignment="1"/>
    <xf numFmtId="0" fontId="11" fillId="9" borderId="70" xfId="0" applyFont="1" applyFill="1" applyBorder="1" applyAlignment="1"/>
    <xf numFmtId="0" fontId="11" fillId="9" borderId="71" xfId="0" applyFont="1" applyFill="1" applyBorder="1" applyAlignment="1"/>
    <xf numFmtId="0" fontId="11" fillId="0" borderId="72" xfId="0" applyFont="1" applyBorder="1" applyAlignment="1"/>
    <xf numFmtId="0" fontId="11" fillId="0" borderId="73" xfId="0" applyFont="1" applyBorder="1" applyAlignment="1"/>
    <xf numFmtId="0" fontId="40" fillId="13" borderId="0" xfId="0" applyFont="1" applyFill="1" applyBorder="1" applyAlignment="1">
      <alignment vertical="center"/>
    </xf>
    <xf numFmtId="0" fontId="50" fillId="13" borderId="0" xfId="0" applyFont="1" applyFill="1" applyBorder="1" applyAlignment="1">
      <alignment horizontal="center"/>
    </xf>
    <xf numFmtId="0" fontId="32" fillId="13" borderId="0" xfId="0" applyFont="1" applyFill="1" applyBorder="1" applyAlignment="1"/>
    <xf numFmtId="0" fontId="50" fillId="13" borderId="0" xfId="0" applyFont="1" applyFill="1" applyBorder="1" applyAlignment="1"/>
    <xf numFmtId="0" fontId="50" fillId="13" borderId="0" xfId="0" applyFont="1" applyFill="1" applyBorder="1" applyAlignment="1">
      <alignment wrapText="1"/>
    </xf>
    <xf numFmtId="49" fontId="50" fillId="13" borderId="0" xfId="0" applyNumberFormat="1" applyFont="1" applyFill="1" applyBorder="1" applyAlignment="1"/>
    <xf numFmtId="0" fontId="50" fillId="13" borderId="0" xfId="0" applyNumberFormat="1" applyFont="1" applyFill="1" applyBorder="1" applyAlignment="1"/>
    <xf numFmtId="0" fontId="50" fillId="13" borderId="0" xfId="0" applyFont="1" applyFill="1" applyBorder="1" applyAlignment="1">
      <alignment horizontal="center" vertical="center"/>
    </xf>
    <xf numFmtId="0" fontId="42" fillId="13" borderId="0" xfId="0" applyFont="1" applyFill="1" applyBorder="1" applyAlignment="1">
      <alignment vertical="center"/>
    </xf>
    <xf numFmtId="0" fontId="41" fillId="13" borderId="0" xfId="0" applyFont="1" applyFill="1" applyBorder="1" applyAlignment="1">
      <alignment horizontal="center"/>
    </xf>
    <xf numFmtId="0" fontId="41" fillId="13" borderId="0" xfId="0" applyFont="1" applyFill="1" applyBorder="1" applyAlignment="1"/>
    <xf numFmtId="0" fontId="41" fillId="13" borderId="0" xfId="0" applyFont="1" applyFill="1" applyBorder="1" applyAlignment="1">
      <alignment wrapText="1"/>
    </xf>
    <xf numFmtId="49" fontId="41" fillId="13" borderId="0" xfId="0" applyNumberFormat="1" applyFont="1" applyFill="1" applyBorder="1" applyAlignment="1"/>
    <xf numFmtId="0" fontId="41" fillId="13" borderId="0" xfId="0" applyNumberFormat="1" applyFont="1" applyFill="1" applyBorder="1" applyAlignment="1"/>
    <xf numFmtId="0" fontId="41" fillId="13" borderId="0" xfId="0" applyFont="1" applyFill="1" applyBorder="1" applyAlignment="1">
      <alignment horizontal="center" vertical="center"/>
    </xf>
    <xf numFmtId="0" fontId="42" fillId="13" borderId="26" xfId="0" applyFont="1" applyFill="1" applyBorder="1" applyAlignment="1">
      <alignment horizontal="center" vertical="center" wrapText="1"/>
    </xf>
    <xf numFmtId="0" fontId="42" fillId="13" borderId="19" xfId="0" applyFont="1" applyFill="1" applyBorder="1" applyAlignment="1">
      <alignment horizontal="center" vertical="center" wrapText="1"/>
    </xf>
    <xf numFmtId="0" fontId="42" fillId="13" borderId="20" xfId="0" applyFont="1" applyFill="1" applyBorder="1" applyAlignment="1">
      <alignment vertical="center" wrapText="1"/>
    </xf>
    <xf numFmtId="0" fontId="42" fillId="13" borderId="20" xfId="0" applyFont="1" applyFill="1" applyBorder="1" applyAlignment="1">
      <alignment horizontal="center" vertical="center" wrapText="1"/>
    </xf>
    <xf numFmtId="49" fontId="42" fillId="13" borderId="20" xfId="0" applyNumberFormat="1" applyFont="1" applyFill="1" applyBorder="1" applyAlignment="1">
      <alignment vertical="center" wrapText="1"/>
    </xf>
    <xf numFmtId="0" fontId="42" fillId="13" borderId="20" xfId="0" applyNumberFormat="1" applyFont="1" applyFill="1" applyBorder="1" applyAlignment="1">
      <alignment vertical="center" wrapText="1"/>
    </xf>
    <xf numFmtId="0" fontId="42" fillId="13" borderId="21" xfId="0" applyFont="1" applyFill="1" applyBorder="1" applyAlignment="1">
      <alignment vertical="center" wrapText="1"/>
    </xf>
    <xf numFmtId="0" fontId="51" fillId="8" borderId="26" xfId="0" applyFont="1" applyFill="1" applyBorder="1" applyAlignment="1">
      <alignment vertical="center" wrapText="1"/>
    </xf>
    <xf numFmtId="0" fontId="51" fillId="0" borderId="26" xfId="0" applyFont="1" applyBorder="1" applyAlignment="1">
      <alignment horizontal="left" vertical="top" wrapText="1"/>
    </xf>
    <xf numFmtId="0" fontId="51" fillId="14" borderId="26" xfId="0" applyFont="1" applyFill="1" applyBorder="1" applyAlignment="1">
      <alignment vertical="center" wrapText="1"/>
    </xf>
    <xf numFmtId="0" fontId="51" fillId="0" borderId="26" xfId="0" applyFont="1" applyBorder="1" applyAlignment="1">
      <alignment horizontal="left" vertical="center" wrapText="1"/>
    </xf>
    <xf numFmtId="0" fontId="51" fillId="6" borderId="26" xfId="0" applyFont="1" applyFill="1" applyBorder="1" applyAlignment="1">
      <alignment vertical="center" wrapText="1"/>
    </xf>
    <xf numFmtId="0" fontId="51" fillId="15" borderId="26" xfId="0" applyFont="1" applyFill="1" applyBorder="1" applyAlignment="1">
      <alignment vertical="center" wrapText="1"/>
    </xf>
    <xf numFmtId="0" fontId="42" fillId="0" borderId="26" xfId="0" applyNumberFormat="1" applyFont="1" applyFill="1" applyBorder="1" applyAlignment="1">
      <alignment horizontal="center" vertical="center" wrapText="1"/>
    </xf>
    <xf numFmtId="0" fontId="32" fillId="8" borderId="26" xfId="0" applyFont="1" applyFill="1" applyBorder="1" applyAlignment="1">
      <alignment vertical="center" wrapText="1"/>
    </xf>
    <xf numFmtId="0" fontId="32" fillId="0" borderId="26" xfId="0" applyNumberFormat="1" applyFont="1" applyFill="1" applyBorder="1" applyAlignment="1">
      <alignment vertical="center" wrapText="1"/>
    </xf>
    <xf numFmtId="0" fontId="32" fillId="0" borderId="27" xfId="0" applyFont="1" applyBorder="1" applyAlignment="1">
      <alignment vertical="center" wrapText="1"/>
    </xf>
    <xf numFmtId="178" fontId="32" fillId="0" borderId="26" xfId="0" applyNumberFormat="1" applyFont="1" applyBorder="1" applyAlignment="1">
      <alignment horizontal="center" vertical="center"/>
    </xf>
    <xf numFmtId="0" fontId="32" fillId="15" borderId="26" xfId="0" applyFont="1" applyFill="1" applyBorder="1" applyAlignment="1">
      <alignment vertical="center" wrapText="1"/>
    </xf>
    <xf numFmtId="0" fontId="32" fillId="0" borderId="27" xfId="0" applyFont="1" applyFill="1" applyBorder="1" applyAlignment="1">
      <alignment horizontal="center" vertical="center"/>
    </xf>
    <xf numFmtId="0" fontId="32" fillId="14" borderId="26" xfId="0" applyFont="1" applyFill="1" applyBorder="1" applyAlignment="1">
      <alignment vertical="center" wrapText="1"/>
    </xf>
    <xf numFmtId="178" fontId="32" fillId="0" borderId="26" xfId="0" applyNumberFormat="1" applyFont="1" applyBorder="1" applyAlignment="1">
      <alignment horizontal="center" vertical="center" wrapText="1"/>
    </xf>
    <xf numFmtId="0" fontId="32" fillId="6" borderId="26" xfId="0" applyFont="1" applyFill="1" applyBorder="1" applyAlignment="1">
      <alignment vertical="center" wrapText="1"/>
    </xf>
    <xf numFmtId="0" fontId="56" fillId="0" borderId="26" xfId="5" applyFont="1" applyFill="1" applyBorder="1" applyAlignment="1">
      <alignment horizontal="center" vertical="center" wrapText="1"/>
    </xf>
    <xf numFmtId="178" fontId="32" fillId="0" borderId="26" xfId="0" quotePrefix="1" applyNumberFormat="1" applyFont="1" applyFill="1" applyBorder="1" applyAlignment="1">
      <alignment horizontal="center" vertical="center" wrapText="1"/>
    </xf>
    <xf numFmtId="178" fontId="32" fillId="0" borderId="26" xfId="0" applyNumberFormat="1" applyFont="1" applyFill="1" applyBorder="1" applyAlignment="1">
      <alignment horizontal="center" vertical="center" wrapText="1"/>
    </xf>
    <xf numFmtId="0" fontId="32" fillId="0" borderId="26" xfId="0" quotePrefix="1" applyFont="1" applyBorder="1" applyAlignment="1">
      <alignment vertical="center" wrapText="1"/>
    </xf>
    <xf numFmtId="178" fontId="32" fillId="0" borderId="26" xfId="1" quotePrefix="1" applyNumberFormat="1" applyFont="1" applyBorder="1" applyAlignment="1">
      <alignment horizontal="center" vertical="center" wrapText="1"/>
    </xf>
    <xf numFmtId="0" fontId="32" fillId="3" borderId="26" xfId="0" applyFont="1" applyFill="1" applyBorder="1" applyAlignment="1">
      <alignment horizontal="center" vertical="center" wrapText="1"/>
    </xf>
    <xf numFmtId="0" fontId="37" fillId="14" borderId="37" xfId="0" applyFont="1" applyFill="1" applyBorder="1" applyAlignment="1"/>
    <xf numFmtId="0" fontId="37" fillId="14" borderId="38" xfId="0" applyFont="1" applyFill="1" applyBorder="1" applyAlignment="1"/>
    <xf numFmtId="0" fontId="37" fillId="14" borderId="39" xfId="0" applyFont="1" applyFill="1" applyBorder="1" applyAlignment="1"/>
    <xf numFmtId="0" fontId="11" fillId="13" borderId="47" xfId="0" applyFont="1" applyFill="1" applyBorder="1" applyAlignment="1">
      <alignment horizontal="center" vertical="center" wrapText="1"/>
    </xf>
    <xf numFmtId="0" fontId="11" fillId="13" borderId="42" xfId="0" applyFont="1" applyFill="1" applyBorder="1" applyAlignment="1">
      <alignment horizontal="center" vertical="center" wrapText="1"/>
    </xf>
    <xf numFmtId="0" fontId="11" fillId="13" borderId="42" xfId="0" applyFont="1" applyFill="1" applyBorder="1" applyAlignment="1"/>
    <xf numFmtId="179" fontId="11" fillId="13" borderId="42" xfId="0" applyNumberFormat="1" applyFont="1" applyFill="1" applyBorder="1" applyAlignment="1"/>
    <xf numFmtId="0" fontId="11" fillId="14" borderId="38" xfId="0" applyFont="1" applyFill="1" applyBorder="1" applyAlignment="1"/>
    <xf numFmtId="0" fontId="11" fillId="14" borderId="39" xfId="0" applyFont="1" applyFill="1" applyBorder="1" applyAlignment="1"/>
    <xf numFmtId="0" fontId="58" fillId="13" borderId="63" xfId="0" applyFont="1" applyFill="1" applyBorder="1" applyAlignment="1">
      <alignment vertical="center"/>
    </xf>
    <xf numFmtId="0" fontId="58" fillId="13" borderId="52" xfId="0" applyFont="1" applyFill="1" applyBorder="1" applyAlignment="1">
      <alignment vertical="center"/>
    </xf>
    <xf numFmtId="0" fontId="11" fillId="0" borderId="74" xfId="0" applyFont="1" applyBorder="1" applyAlignment="1"/>
    <xf numFmtId="0" fontId="59" fillId="17" borderId="0" xfId="0" applyFont="1" applyFill="1" applyBorder="1" applyAlignment="1">
      <alignment vertical="center" readingOrder="1"/>
    </xf>
    <xf numFmtId="0" fontId="59" fillId="17" borderId="0" xfId="0" applyFont="1" applyFill="1" applyBorder="1" applyAlignment="1">
      <alignment horizontal="right" vertical="center" readingOrder="1"/>
    </xf>
    <xf numFmtId="0" fontId="60" fillId="17" borderId="26" xfId="0" applyFont="1" applyFill="1" applyBorder="1" applyAlignment="1">
      <alignment horizontal="center" vertical="center" readingOrder="1"/>
    </xf>
    <xf numFmtId="0" fontId="61" fillId="0" borderId="0" xfId="0" applyFont="1" applyAlignment="1"/>
    <xf numFmtId="0" fontId="62" fillId="0" borderId="26" xfId="0" applyFont="1" applyBorder="1" applyAlignment="1">
      <alignment vertical="center" wrapText="1"/>
    </xf>
    <xf numFmtId="0" fontId="63" fillId="3" borderId="26" xfId="3" applyFont="1" applyFill="1" applyBorder="1" applyAlignment="1">
      <alignment vertical="center" wrapText="1"/>
    </xf>
    <xf numFmtId="0" fontId="62" fillId="0" borderId="0" xfId="0" applyFont="1" applyAlignment="1"/>
    <xf numFmtId="0" fontId="62" fillId="0" borderId="15" xfId="0" applyFont="1" applyBorder="1" applyAlignment="1">
      <alignment vertical="center" readingOrder="1"/>
    </xf>
    <xf numFmtId="0" fontId="62" fillId="0" borderId="15" xfId="0" applyFont="1" applyFill="1" applyBorder="1" applyAlignment="1">
      <alignment horizontal="left" vertical="center" wrapText="1"/>
    </xf>
    <xf numFmtId="0" fontId="61" fillId="0" borderId="15" xfId="0" applyFont="1" applyBorder="1" applyAlignment="1">
      <alignment vertical="center"/>
    </xf>
    <xf numFmtId="0" fontId="51" fillId="3" borderId="27" xfId="0" applyFont="1" applyFill="1" applyBorder="1" applyAlignment="1">
      <alignment horizontal="right" vertical="center" wrapText="1"/>
    </xf>
    <xf numFmtId="0" fontId="51" fillId="3" borderId="27" xfId="0" applyFont="1" applyFill="1" applyBorder="1" applyAlignment="1">
      <alignment vertical="center" wrapText="1"/>
    </xf>
    <xf numFmtId="0" fontId="62" fillId="0" borderId="29" xfId="0" applyFont="1" applyBorder="1" applyAlignment="1">
      <alignment vertical="center" wrapText="1"/>
    </xf>
    <xf numFmtId="0" fontId="62" fillId="0" borderId="12" xfId="0" applyFont="1" applyBorder="1" applyAlignment="1">
      <alignment vertical="center"/>
    </xf>
    <xf numFmtId="0" fontId="51" fillId="3" borderId="26" xfId="0" applyFont="1" applyFill="1" applyBorder="1" applyAlignment="1">
      <alignment horizontal="right" vertical="center" wrapText="1"/>
    </xf>
    <xf numFmtId="0" fontId="51" fillId="3" borderId="26" xfId="0" applyFont="1" applyFill="1" applyBorder="1" applyAlignment="1">
      <alignment vertical="center"/>
    </xf>
    <xf numFmtId="0" fontId="62" fillId="0" borderId="21" xfId="0" applyFont="1" applyBorder="1" applyAlignment="1">
      <alignment vertical="center"/>
    </xf>
    <xf numFmtId="0" fontId="63" fillId="3" borderId="26" xfId="3" applyFont="1" applyFill="1" applyBorder="1" applyAlignment="1">
      <alignment horizontal="left" vertical="center" wrapText="1"/>
    </xf>
    <xf numFmtId="0" fontId="62" fillId="0" borderId="21" xfId="0" quotePrefix="1" applyFont="1" applyBorder="1" applyAlignment="1">
      <alignment vertical="center"/>
    </xf>
    <xf numFmtId="0" fontId="62" fillId="3" borderId="26" xfId="3" applyFont="1" applyFill="1" applyBorder="1" applyAlignment="1">
      <alignment horizontal="left" vertical="center" wrapText="1"/>
    </xf>
    <xf numFmtId="0" fontId="62" fillId="0" borderId="21" xfId="0" applyFont="1" applyFill="1" applyBorder="1" applyAlignment="1">
      <alignment horizontal="left" vertical="center" wrapText="1"/>
    </xf>
    <xf numFmtId="0" fontId="61" fillId="0" borderId="15" xfId="0" applyFont="1" applyBorder="1" applyAlignment="1"/>
    <xf numFmtId="0" fontId="63" fillId="0" borderId="15" xfId="0" applyFont="1" applyBorder="1" applyAlignment="1">
      <alignment vertical="center" readingOrder="1"/>
    </xf>
    <xf numFmtId="0" fontId="63" fillId="0" borderId="21" xfId="0" applyFont="1" applyBorder="1" applyAlignment="1">
      <alignment vertical="center"/>
    </xf>
    <xf numFmtId="0" fontId="63" fillId="3" borderId="29" xfId="3" applyFont="1" applyFill="1" applyBorder="1" applyAlignment="1">
      <alignment vertical="center" wrapText="1"/>
    </xf>
    <xf numFmtId="0" fontId="63" fillId="0" borderId="29" xfId="0" applyFont="1" applyBorder="1" applyAlignment="1">
      <alignment vertical="center"/>
    </xf>
    <xf numFmtId="0" fontId="62" fillId="0" borderId="7" xfId="0" applyFont="1" applyBorder="1" applyAlignment="1">
      <alignment vertical="center" wrapText="1"/>
    </xf>
    <xf numFmtId="0" fontId="63" fillId="0" borderId="21" xfId="0" quotePrefix="1" applyFont="1" applyBorder="1" applyAlignment="1">
      <alignment vertical="center"/>
    </xf>
    <xf numFmtId="0" fontId="61" fillId="0" borderId="0" xfId="0" applyFont="1" applyAlignment="1">
      <alignment horizontal="right"/>
    </xf>
    <xf numFmtId="179" fontId="63" fillId="3" borderId="29" xfId="3" applyNumberFormat="1" applyFont="1" applyFill="1" applyBorder="1" applyAlignment="1">
      <alignment vertical="center" wrapText="1"/>
    </xf>
    <xf numFmtId="0" fontId="63" fillId="0" borderId="21" xfId="0" applyFont="1" applyFill="1" applyBorder="1" applyAlignment="1">
      <alignment horizontal="left" vertical="center" wrapText="1"/>
    </xf>
    <xf numFmtId="0" fontId="63" fillId="3" borderId="21" xfId="0" quotePrefix="1" applyFont="1" applyFill="1" applyBorder="1" applyAlignment="1">
      <alignment horizontal="left" vertical="center" wrapText="1"/>
    </xf>
    <xf numFmtId="0" fontId="63" fillId="0" borderId="21" xfId="0" quotePrefix="1" applyFont="1" applyFill="1" applyBorder="1" applyAlignment="1">
      <alignment vertical="center" wrapText="1"/>
    </xf>
    <xf numFmtId="0" fontId="63" fillId="3" borderId="21" xfId="0" applyFont="1" applyFill="1" applyBorder="1" applyAlignment="1">
      <alignment horizontal="left" vertical="center" wrapText="1"/>
    </xf>
    <xf numFmtId="0" fontId="63" fillId="0" borderId="21" xfId="0" quotePrefix="1" applyFont="1" applyFill="1" applyBorder="1" applyAlignment="1">
      <alignment horizontal="left" vertical="center" wrapText="1"/>
    </xf>
    <xf numFmtId="0" fontId="62" fillId="0" borderId="15" xfId="0" applyFont="1" applyFill="1" applyBorder="1" applyAlignment="1">
      <alignment vertical="center" readingOrder="1"/>
    </xf>
    <xf numFmtId="0" fontId="62" fillId="0" borderId="15" xfId="0" applyFont="1" applyBorder="1" applyAlignment="1">
      <alignment vertical="center" wrapText="1" readingOrder="1"/>
    </xf>
    <xf numFmtId="0" fontId="62" fillId="3" borderId="21" xfId="0" quotePrefix="1" applyFont="1" applyFill="1" applyBorder="1" applyAlignment="1">
      <alignment horizontal="left" vertical="center" wrapText="1"/>
    </xf>
    <xf numFmtId="0" fontId="32" fillId="0" borderId="27" xfId="0" applyFont="1" applyFill="1" applyBorder="1" applyAlignment="1">
      <alignment horizontal="left" vertical="center" wrapText="1"/>
    </xf>
    <xf numFmtId="0" fontId="32" fillId="0" borderId="27" xfId="0" applyFont="1" applyFill="1" applyBorder="1" applyAlignment="1">
      <alignment vertical="center"/>
    </xf>
    <xf numFmtId="0" fontId="32" fillId="0" borderId="17" xfId="0" quotePrefix="1" applyFont="1" applyFill="1" applyBorder="1" applyAlignment="1">
      <alignment horizontal="center" vertical="center" wrapText="1"/>
    </xf>
    <xf numFmtId="0" fontId="32" fillId="0" borderId="15" xfId="0" quotePrefix="1" applyFont="1" applyFill="1" applyBorder="1" applyAlignment="1">
      <alignment horizontal="center" vertical="center" wrapText="1"/>
    </xf>
    <xf numFmtId="180" fontId="32" fillId="0" borderId="26" xfId="0" applyNumberFormat="1" applyFont="1" applyFill="1" applyBorder="1" applyAlignment="1">
      <alignment horizontal="center" vertical="center" wrapText="1"/>
    </xf>
    <xf numFmtId="0" fontId="50" fillId="0" borderId="0" xfId="0" applyFont="1" applyFill="1" applyBorder="1" applyAlignment="1">
      <alignment vertical="center"/>
    </xf>
    <xf numFmtId="0" fontId="32" fillId="0" borderId="26" xfId="0" applyNumberFormat="1" applyFont="1" applyBorder="1" applyAlignment="1">
      <alignment horizontal="center" vertical="center" wrapText="1"/>
    </xf>
    <xf numFmtId="0" fontId="0" fillId="0" borderId="67" xfId="0" applyBorder="1">
      <alignment vertical="center"/>
    </xf>
    <xf numFmtId="0" fontId="0" fillId="0" borderId="75" xfId="0" applyBorder="1">
      <alignment vertical="center"/>
    </xf>
    <xf numFmtId="0" fontId="21" fillId="0" borderId="27" xfId="0" applyFont="1" applyBorder="1" applyAlignment="1">
      <alignment vertical="center" wrapText="1"/>
    </xf>
    <xf numFmtId="0" fontId="0" fillId="7" borderId="0" xfId="0" applyFill="1">
      <alignment vertical="center"/>
    </xf>
    <xf numFmtId="0" fontId="65" fillId="7" borderId="0" xfId="0" applyFont="1" applyFill="1">
      <alignment vertical="center"/>
    </xf>
    <xf numFmtId="0" fontId="0" fillId="19" borderId="0" xfId="0" applyFill="1">
      <alignment vertical="center"/>
    </xf>
    <xf numFmtId="0" fontId="21" fillId="19" borderId="8" xfId="0" applyFont="1" applyFill="1" applyBorder="1" applyAlignment="1">
      <alignment horizontal="center" vertical="center" wrapText="1"/>
    </xf>
    <xf numFmtId="0" fontId="0" fillId="19" borderId="8" xfId="0" applyFill="1" applyBorder="1">
      <alignment vertical="center"/>
    </xf>
    <xf numFmtId="0" fontId="61" fillId="0" borderId="0" xfId="0" applyFont="1">
      <alignment vertical="center"/>
    </xf>
    <xf numFmtId="0" fontId="43" fillId="10" borderId="17" xfId="0" applyFont="1" applyFill="1" applyBorder="1" applyAlignment="1">
      <alignment horizontal="center" vertical="center" wrapText="1"/>
    </xf>
    <xf numFmtId="0" fontId="50" fillId="3" borderId="63" xfId="0" applyFont="1" applyFill="1" applyBorder="1" applyAlignment="1">
      <alignment vertical="center"/>
    </xf>
    <xf numFmtId="0" fontId="40" fillId="9" borderId="52" xfId="0" applyFont="1" applyFill="1" applyBorder="1" applyAlignment="1">
      <alignment horizontal="left" vertical="center"/>
    </xf>
    <xf numFmtId="0" fontId="41" fillId="9" borderId="52" xfId="0" applyFont="1" applyFill="1" applyBorder="1" applyAlignment="1">
      <alignment horizontal="left" vertical="center" wrapText="1"/>
    </xf>
    <xf numFmtId="0" fontId="41" fillId="9" borderId="52" xfId="0" applyFont="1" applyFill="1" applyBorder="1" applyAlignment="1">
      <alignment horizontal="center" vertical="center" wrapText="1"/>
    </xf>
    <xf numFmtId="0" fontId="41" fillId="9" borderId="52" xfId="0" applyFont="1" applyFill="1" applyBorder="1" applyAlignment="1">
      <alignment vertical="center" wrapText="1"/>
    </xf>
    <xf numFmtId="15" fontId="41" fillId="9" borderId="52" xfId="0" applyNumberFormat="1" applyFont="1" applyFill="1" applyBorder="1" applyAlignment="1">
      <alignment vertical="center" wrapText="1"/>
    </xf>
    <xf numFmtId="0" fontId="41" fillId="9" borderId="52" xfId="0" applyFont="1" applyFill="1" applyBorder="1" applyAlignment="1">
      <alignment horizontal="left" vertical="center"/>
    </xf>
    <xf numFmtId="14" fontId="41" fillId="9" borderId="52" xfId="0" applyNumberFormat="1" applyFont="1" applyFill="1" applyBorder="1" applyAlignment="1">
      <alignment horizontal="center" vertical="center"/>
    </xf>
    <xf numFmtId="0" fontId="41" fillId="9" borderId="52" xfId="0" applyFont="1" applyFill="1" applyBorder="1" applyAlignment="1">
      <alignment horizontal="center" vertical="center"/>
    </xf>
    <xf numFmtId="0" fontId="41" fillId="9" borderId="52" xfId="0" quotePrefix="1" applyFont="1" applyFill="1" applyBorder="1" applyAlignment="1">
      <alignment horizontal="center" vertical="center"/>
    </xf>
    <xf numFmtId="14" fontId="41" fillId="9" borderId="52" xfId="0" applyNumberFormat="1" applyFont="1" applyFill="1" applyBorder="1" applyAlignment="1">
      <alignment horizontal="center" vertical="center" wrapText="1"/>
    </xf>
    <xf numFmtId="14" fontId="41" fillId="9" borderId="52" xfId="0" applyNumberFormat="1" applyFont="1" applyFill="1" applyBorder="1" applyAlignment="1">
      <alignment vertical="center" wrapText="1"/>
    </xf>
    <xf numFmtId="0" fontId="41" fillId="9" borderId="52" xfId="0" applyFont="1" applyFill="1" applyBorder="1" applyAlignment="1">
      <alignment vertical="center"/>
    </xf>
    <xf numFmtId="0" fontId="41" fillId="9" borderId="52" xfId="0" applyFont="1" applyFill="1" applyBorder="1" applyAlignment="1">
      <alignment horizontal="right" vertical="center"/>
    </xf>
    <xf numFmtId="14" fontId="41" fillId="9" borderId="52" xfId="0" applyNumberFormat="1" applyFont="1" applyFill="1" applyBorder="1" applyAlignment="1">
      <alignment horizontal="right" vertical="center"/>
    </xf>
    <xf numFmtId="14" fontId="41" fillId="9" borderId="18" xfId="0" applyNumberFormat="1" applyFont="1" applyFill="1" applyBorder="1" applyAlignment="1">
      <alignment horizontal="center" vertical="center" wrapText="1"/>
    </xf>
    <xf numFmtId="0" fontId="41" fillId="3" borderId="66" xfId="0" applyFont="1" applyFill="1" applyBorder="1" applyAlignment="1">
      <alignment vertical="center"/>
    </xf>
    <xf numFmtId="0" fontId="41" fillId="9" borderId="0" xfId="0" applyFont="1" applyFill="1" applyBorder="1" applyAlignment="1">
      <alignment horizontal="left" vertical="center" wrapText="1"/>
    </xf>
    <xf numFmtId="0" fontId="41" fillId="9" borderId="0" xfId="0" applyFont="1" applyFill="1" applyBorder="1" applyAlignment="1">
      <alignment horizontal="center" vertical="center" wrapText="1"/>
    </xf>
    <xf numFmtId="0" fontId="41" fillId="9" borderId="0" xfId="0" applyFont="1" applyFill="1" applyBorder="1" applyAlignment="1">
      <alignment vertical="center" wrapText="1"/>
    </xf>
    <xf numFmtId="14" fontId="41" fillId="9" borderId="0" xfId="0" applyNumberFormat="1" applyFont="1" applyFill="1" applyBorder="1" applyAlignment="1">
      <alignment vertical="center" wrapText="1"/>
    </xf>
    <xf numFmtId="0" fontId="41" fillId="9" borderId="0" xfId="0" applyFont="1" applyFill="1" applyBorder="1" applyAlignment="1">
      <alignment horizontal="left" vertical="center"/>
    </xf>
    <xf numFmtId="14" fontId="41" fillId="9" borderId="0" xfId="0" applyNumberFormat="1" applyFont="1" applyFill="1" applyBorder="1" applyAlignment="1">
      <alignment horizontal="center" vertical="center"/>
    </xf>
    <xf numFmtId="0" fontId="41" fillId="9" borderId="0" xfId="0" applyFont="1" applyFill="1" applyBorder="1" applyAlignment="1">
      <alignment horizontal="center" vertical="center"/>
    </xf>
    <xf numFmtId="0" fontId="41" fillId="9" borderId="0" xfId="0" quotePrefix="1" applyFont="1" applyFill="1" applyBorder="1" applyAlignment="1">
      <alignment horizontal="center" vertical="center"/>
    </xf>
    <xf numFmtId="14" fontId="41" fillId="9" borderId="0" xfId="0" applyNumberFormat="1" applyFont="1" applyFill="1" applyBorder="1" applyAlignment="1">
      <alignment horizontal="center" vertical="center" wrapText="1"/>
    </xf>
    <xf numFmtId="0" fontId="41" fillId="9" borderId="0" xfId="0" applyFont="1" applyFill="1" applyBorder="1" applyAlignment="1">
      <alignment vertical="center"/>
    </xf>
    <xf numFmtId="0" fontId="41" fillId="9" borderId="0" xfId="0" applyFont="1" applyFill="1" applyBorder="1" applyAlignment="1">
      <alignment horizontal="right" vertical="center"/>
    </xf>
    <xf numFmtId="14" fontId="41" fillId="9" borderId="0" xfId="0" applyNumberFormat="1" applyFont="1" applyFill="1" applyBorder="1" applyAlignment="1">
      <alignment horizontal="right" vertical="center"/>
    </xf>
    <xf numFmtId="14" fontId="41" fillId="9" borderId="67" xfId="0" applyNumberFormat="1" applyFont="1" applyFill="1" applyBorder="1" applyAlignment="1">
      <alignment horizontal="center" vertical="center" wrapText="1"/>
    </xf>
    <xf numFmtId="0" fontId="41" fillId="17" borderId="66" xfId="0" applyFont="1" applyFill="1" applyBorder="1" applyAlignment="1">
      <alignment vertical="center"/>
    </xf>
    <xf numFmtId="14" fontId="43" fillId="9" borderId="17" xfId="0" applyNumberFormat="1" applyFont="1" applyFill="1" applyBorder="1" applyAlignment="1">
      <alignment vertical="center"/>
    </xf>
    <xf numFmtId="0" fontId="43" fillId="17" borderId="76" xfId="0" applyFont="1" applyFill="1" applyBorder="1" applyAlignment="1">
      <alignment horizontal="center" vertical="center" wrapText="1"/>
    </xf>
    <xf numFmtId="0" fontId="32" fillId="0" borderId="77" xfId="0" applyFont="1" applyFill="1" applyBorder="1" applyAlignment="1">
      <alignment horizontal="center" vertical="center" wrapText="1"/>
    </xf>
    <xf numFmtId="0" fontId="32" fillId="18" borderId="77" xfId="0" applyFont="1" applyFill="1" applyBorder="1" applyAlignment="1">
      <alignment horizontal="center" vertical="center" wrapText="1"/>
    </xf>
    <xf numFmtId="0" fontId="32" fillId="0" borderId="77" xfId="0" applyFont="1" applyBorder="1" applyAlignment="1">
      <alignment vertical="center"/>
    </xf>
    <xf numFmtId="0" fontId="32" fillId="0" borderId="77" xfId="0" applyFont="1" applyFill="1" applyBorder="1" applyAlignment="1">
      <alignment horizontal="center" vertical="center"/>
    </xf>
    <xf numFmtId="0" fontId="32" fillId="0" borderId="77" xfId="0" applyFont="1" applyFill="1" applyBorder="1" applyAlignment="1">
      <alignment vertical="center"/>
    </xf>
    <xf numFmtId="0" fontId="32" fillId="0" borderId="78" xfId="0" applyFont="1" applyFill="1" applyBorder="1" applyAlignment="1">
      <alignment vertical="center"/>
    </xf>
    <xf numFmtId="0" fontId="32" fillId="0" borderId="28" xfId="0" applyFont="1" applyFill="1" applyBorder="1" applyAlignment="1">
      <alignment horizontal="left" vertical="center" wrapText="1"/>
    </xf>
    <xf numFmtId="0" fontId="32" fillId="3" borderId="28" xfId="0" applyFont="1" applyFill="1" applyBorder="1" applyAlignment="1">
      <alignment horizontal="left" vertical="center" wrapText="1"/>
    </xf>
    <xf numFmtId="0" fontId="32" fillId="0" borderId="28" xfId="0" applyFont="1" applyBorder="1" applyAlignment="1">
      <alignment vertical="center" wrapText="1"/>
    </xf>
    <xf numFmtId="0" fontId="32" fillId="0" borderId="28" xfId="0" applyFont="1" applyFill="1" applyBorder="1" applyAlignment="1">
      <alignment horizontal="center" vertical="center" wrapText="1"/>
    </xf>
    <xf numFmtId="14" fontId="32" fillId="0" borderId="28" xfId="0" applyNumberFormat="1" applyFont="1" applyFill="1" applyBorder="1" applyAlignment="1">
      <alignment horizontal="center" vertical="center" wrapText="1"/>
    </xf>
    <xf numFmtId="0" fontId="32" fillId="0" borderId="28" xfId="0" quotePrefix="1" applyFont="1" applyFill="1" applyBorder="1" applyAlignment="1">
      <alignment horizontal="center" vertical="center" wrapText="1"/>
    </xf>
    <xf numFmtId="14" fontId="32" fillId="0" borderId="28" xfId="0" applyNumberFormat="1" applyFont="1" applyFill="1" applyBorder="1" applyAlignment="1">
      <alignment horizontal="center" vertical="center"/>
    </xf>
    <xf numFmtId="0" fontId="32" fillId="0" borderId="28" xfId="0" quotePrefix="1" applyFont="1" applyFill="1" applyBorder="1" applyAlignment="1">
      <alignment horizontal="center" vertical="center"/>
    </xf>
    <xf numFmtId="14" fontId="32" fillId="0" borderId="28" xfId="0" applyNumberFormat="1" applyFont="1" applyFill="1" applyBorder="1" applyAlignment="1">
      <alignment horizontal="left" vertical="center" wrapText="1"/>
    </xf>
    <xf numFmtId="1" fontId="32" fillId="0" borderId="28" xfId="0" applyNumberFormat="1" applyFont="1" applyFill="1" applyBorder="1" applyAlignment="1">
      <alignment horizontal="center" vertical="center" wrapText="1"/>
    </xf>
    <xf numFmtId="0" fontId="32" fillId="0" borderId="28" xfId="0" applyFont="1" applyFill="1" applyBorder="1" applyAlignment="1">
      <alignment vertical="center"/>
    </xf>
    <xf numFmtId="178" fontId="32" fillId="0" borderId="28" xfId="0" applyNumberFormat="1" applyFont="1" applyFill="1" applyBorder="1" applyAlignment="1">
      <alignment horizontal="right" vertical="center"/>
    </xf>
    <xf numFmtId="178" fontId="32" fillId="0" borderId="28" xfId="2" applyNumberFormat="1" applyFont="1" applyFill="1" applyBorder="1" applyAlignment="1">
      <alignment horizontal="right" vertical="center" wrapText="1"/>
    </xf>
    <xf numFmtId="178" fontId="32" fillId="0" borderId="26" xfId="0" applyNumberFormat="1" applyFont="1" applyFill="1" applyBorder="1" applyAlignment="1">
      <alignment vertical="center"/>
    </xf>
    <xf numFmtId="0" fontId="53" fillId="0" borderId="26" xfId="0" applyFont="1" applyFill="1" applyBorder="1" applyAlignment="1">
      <alignment horizontal="left" vertical="center" wrapText="1"/>
    </xf>
    <xf numFmtId="0" fontId="51" fillId="0" borderId="26" xfId="0" applyFont="1" applyFill="1" applyBorder="1" applyAlignment="1">
      <alignment horizontal="left" vertical="center" wrapText="1"/>
    </xf>
    <xf numFmtId="0" fontId="32" fillId="0" borderId="26" xfId="0" quotePrefix="1" applyFont="1" applyBorder="1" applyAlignment="1">
      <alignment horizontal="left" vertical="center" wrapText="1"/>
    </xf>
    <xf numFmtId="178" fontId="32" fillId="0" borderId="26" xfId="0" applyNumberFormat="1" applyFont="1" applyBorder="1" applyAlignment="1">
      <alignment horizontal="left" vertical="center" wrapText="1"/>
    </xf>
    <xf numFmtId="14" fontId="0" fillId="0" borderId="0" xfId="0" applyNumberFormat="1">
      <alignment vertical="center"/>
    </xf>
    <xf numFmtId="14" fontId="51" fillId="0" borderId="26" xfId="0" applyNumberFormat="1" applyFont="1" applyFill="1" applyBorder="1">
      <alignment vertical="center"/>
    </xf>
    <xf numFmtId="0" fontId="51" fillId="0" borderId="26" xfId="0" applyFont="1" applyFill="1" applyBorder="1">
      <alignment vertical="center"/>
    </xf>
    <xf numFmtId="178" fontId="32" fillId="0" borderId="26" xfId="0" applyNumberFormat="1" applyFont="1" applyFill="1" applyBorder="1" applyAlignment="1">
      <alignment vertical="center" wrapText="1"/>
    </xf>
    <xf numFmtId="178" fontId="32" fillId="0" borderId="26" xfId="2" applyNumberFormat="1" applyFont="1" applyFill="1" applyBorder="1" applyAlignment="1">
      <alignment vertical="center" wrapText="1"/>
    </xf>
    <xf numFmtId="178" fontId="61" fillId="9" borderId="0" xfId="0" applyNumberFormat="1" applyFont="1" applyFill="1">
      <alignment vertical="center"/>
    </xf>
    <xf numFmtId="178" fontId="0" fillId="9" borderId="0" xfId="0" applyNumberFormat="1" applyFill="1">
      <alignment vertical="center"/>
    </xf>
    <xf numFmtId="178" fontId="51" fillId="0" borderId="26" xfId="0" applyNumberFormat="1" applyFont="1" applyFill="1" applyBorder="1">
      <alignment vertical="center"/>
    </xf>
    <xf numFmtId="178" fontId="41" fillId="9" borderId="52" xfId="0" applyNumberFormat="1" applyFont="1" applyFill="1" applyBorder="1" applyAlignment="1">
      <alignment horizontal="right" vertical="center"/>
    </xf>
    <xf numFmtId="178" fontId="41" fillId="9" borderId="0" xfId="0" applyNumberFormat="1" applyFont="1" applyFill="1" applyBorder="1" applyAlignment="1">
      <alignment horizontal="right" vertical="center"/>
    </xf>
    <xf numFmtId="178" fontId="43" fillId="9" borderId="65" xfId="0" applyNumberFormat="1" applyFont="1" applyFill="1" applyBorder="1" applyAlignment="1">
      <alignment vertical="center"/>
    </xf>
    <xf numFmtId="178" fontId="43" fillId="11" borderId="14" xfId="0" applyNumberFormat="1" applyFont="1" applyFill="1" applyBorder="1" applyAlignment="1">
      <alignment horizontal="center" vertical="center" wrapText="1"/>
    </xf>
    <xf numFmtId="178" fontId="0" fillId="0" borderId="0" xfId="0" applyNumberFormat="1">
      <alignment vertical="center"/>
    </xf>
    <xf numFmtId="178" fontId="57" fillId="0" borderId="26" xfId="0" applyNumberFormat="1" applyFont="1" applyFill="1" applyBorder="1" applyAlignment="1">
      <alignment horizontal="center" vertical="center" shrinkToFit="1"/>
    </xf>
    <xf numFmtId="0" fontId="51" fillId="16" borderId="26" xfId="0" applyFont="1" applyFill="1" applyBorder="1" applyAlignment="1">
      <alignment vertical="center" wrapText="1"/>
    </xf>
    <xf numFmtId="3" fontId="32" fillId="0" borderId="26" xfId="0" applyNumberFormat="1" applyFont="1" applyBorder="1" applyAlignment="1">
      <alignment horizontal="left" vertical="center" wrapText="1"/>
    </xf>
    <xf numFmtId="178" fontId="32" fillId="0" borderId="26" xfId="0" applyNumberFormat="1" applyFont="1" applyFill="1" applyBorder="1" applyAlignment="1">
      <alignment horizontal="center" vertical="center"/>
    </xf>
    <xf numFmtId="0" fontId="51" fillId="0" borderId="26" xfId="0" applyFont="1" applyFill="1" applyBorder="1" applyAlignment="1">
      <alignment horizontal="center" vertical="center"/>
    </xf>
    <xf numFmtId="0" fontId="14" fillId="13" borderId="10" xfId="4" applyFont="1" applyFill="1" applyBorder="1" applyAlignment="1">
      <alignment horizontal="center" vertical="center"/>
    </xf>
    <xf numFmtId="0" fontId="14" fillId="13" borderId="11" xfId="4" applyFont="1" applyFill="1" applyBorder="1" applyAlignment="1">
      <alignment vertical="center"/>
    </xf>
    <xf numFmtId="0" fontId="51" fillId="13" borderId="11" xfId="0" applyFont="1" applyFill="1" applyBorder="1" applyAlignment="1">
      <alignment vertical="center" wrapText="1"/>
    </xf>
    <xf numFmtId="49" fontId="51" fillId="13" borderId="11" xfId="0" applyNumberFormat="1" applyFont="1" applyFill="1" applyBorder="1" applyAlignment="1">
      <alignment vertical="center" wrapText="1"/>
    </xf>
    <xf numFmtId="0" fontId="51" fillId="13" borderId="11" xfId="0" applyNumberFormat="1" applyFont="1" applyFill="1" applyBorder="1" applyAlignment="1">
      <alignment vertical="center" wrapText="1"/>
    </xf>
    <xf numFmtId="0" fontId="51" fillId="13" borderId="12" xfId="0" applyFont="1" applyFill="1" applyBorder="1" applyAlignment="1">
      <alignment vertical="center" wrapText="1"/>
    </xf>
    <xf numFmtId="178" fontId="32" fillId="0" borderId="26" xfId="1" applyNumberFormat="1" applyFont="1" applyFill="1" applyBorder="1" applyAlignment="1">
      <alignment horizontal="right" vertical="center"/>
    </xf>
    <xf numFmtId="0" fontId="17" fillId="7" borderId="8" xfId="0" applyNumberFormat="1" applyFont="1" applyFill="1" applyBorder="1" applyAlignment="1">
      <alignment vertical="center"/>
    </xf>
    <xf numFmtId="0" fontId="19" fillId="7" borderId="0" xfId="0" applyNumberFormat="1" applyFont="1" applyFill="1" applyBorder="1" applyAlignment="1">
      <alignment vertical="center"/>
    </xf>
    <xf numFmtId="0" fontId="20" fillId="8" borderId="15"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21" fillId="3" borderId="26"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26" xfId="0" quotePrefix="1" applyNumberFormat="1" applyFont="1" applyFill="1" applyBorder="1" applyAlignment="1">
      <alignment horizontal="center" vertical="center" wrapText="1"/>
    </xf>
    <xf numFmtId="0" fontId="21" fillId="0" borderId="29" xfId="0" applyNumberFormat="1" applyFont="1" applyFill="1" applyBorder="1" applyAlignment="1">
      <alignment horizontal="center" vertical="center" wrapText="1"/>
    </xf>
    <xf numFmtId="0" fontId="21" fillId="3" borderId="26" xfId="0" quotePrefix="1" applyNumberFormat="1" applyFont="1" applyFill="1" applyBorder="1" applyAlignment="1">
      <alignment horizontal="center" vertical="center" wrapText="1"/>
    </xf>
    <xf numFmtId="0" fontId="21" fillId="0" borderId="29" xfId="0" quotePrefix="1" applyNumberFormat="1" applyFont="1" applyFill="1" applyBorder="1" applyAlignment="1">
      <alignment horizontal="center" vertical="center" wrapText="1"/>
    </xf>
    <xf numFmtId="0" fontId="0" fillId="7" borderId="0" xfId="0" applyNumberFormat="1" applyFill="1">
      <alignment vertical="center"/>
    </xf>
    <xf numFmtId="0" fontId="0" fillId="0" borderId="0" xfId="0" applyNumberFormat="1">
      <alignment vertical="center"/>
    </xf>
    <xf numFmtId="0" fontId="0" fillId="0" borderId="0" xfId="0" quotePrefix="1">
      <alignment vertical="center"/>
    </xf>
    <xf numFmtId="179" fontId="11" fillId="9" borderId="42" xfId="0" applyNumberFormat="1" applyFont="1" applyFill="1" applyBorder="1" applyAlignment="1"/>
    <xf numFmtId="0" fontId="62" fillId="20" borderId="15" xfId="0" applyFont="1" applyFill="1" applyBorder="1" applyAlignment="1">
      <alignment vertical="center" readingOrder="1"/>
    </xf>
    <xf numFmtId="0" fontId="63" fillId="20" borderId="26" xfId="3" applyFont="1" applyFill="1" applyBorder="1" applyAlignment="1">
      <alignment vertical="center" wrapText="1"/>
    </xf>
    <xf numFmtId="0" fontId="66" fillId="13" borderId="0" xfId="0" applyFont="1" applyFill="1">
      <alignment vertical="center"/>
    </xf>
    <xf numFmtId="178" fontId="50" fillId="13" borderId="0" xfId="0" applyNumberFormat="1" applyFont="1" applyFill="1" applyBorder="1" applyAlignment="1">
      <alignment horizontal="center"/>
    </xf>
    <xf numFmtId="178" fontId="41" fillId="13" borderId="0" xfId="0" applyNumberFormat="1" applyFont="1" applyFill="1" applyBorder="1" applyAlignment="1">
      <alignment horizontal="center"/>
    </xf>
    <xf numFmtId="178" fontId="42" fillId="13" borderId="20" xfId="0" applyNumberFormat="1" applyFont="1" applyFill="1" applyBorder="1" applyAlignment="1">
      <alignment vertical="center" wrapText="1"/>
    </xf>
    <xf numFmtId="178" fontId="51" fillId="13" borderId="11" xfId="0" applyNumberFormat="1" applyFont="1" applyFill="1" applyBorder="1" applyAlignment="1">
      <alignment vertical="center" wrapText="1"/>
    </xf>
    <xf numFmtId="178" fontId="42" fillId="13" borderId="26" xfId="0" applyNumberFormat="1" applyFont="1" applyFill="1" applyBorder="1" applyAlignment="1">
      <alignment horizontal="center" vertical="center" wrapText="1"/>
    </xf>
    <xf numFmtId="178" fontId="66" fillId="13" borderId="0" xfId="0" applyNumberFormat="1" applyFont="1" applyFill="1">
      <alignment vertical="center"/>
    </xf>
    <xf numFmtId="0" fontId="51" fillId="0" borderId="0" xfId="0" applyFont="1">
      <alignment vertical="center"/>
    </xf>
    <xf numFmtId="0" fontId="51" fillId="0" borderId="0" xfId="0" applyFont="1" applyFill="1">
      <alignment vertical="center"/>
    </xf>
    <xf numFmtId="0" fontId="32" fillId="0" borderId="27" xfId="0" applyFont="1" applyFill="1" applyBorder="1" applyAlignment="1">
      <alignment vertical="center" wrapText="1"/>
    </xf>
    <xf numFmtId="0" fontId="15" fillId="0" borderId="0" xfId="0" applyFont="1" applyAlignment="1">
      <alignment vertical="center" wrapText="1"/>
    </xf>
    <xf numFmtId="0" fontId="56" fillId="0" borderId="0" xfId="5" applyFont="1" applyFill="1" applyAlignment="1">
      <alignment vertical="center"/>
    </xf>
    <xf numFmtId="0" fontId="0" fillId="0" borderId="0" xfId="0" applyFill="1">
      <alignment vertical="center"/>
    </xf>
    <xf numFmtId="0" fontId="53" fillId="0" borderId="26" xfId="0" quotePrefix="1" applyFont="1" applyFill="1" applyBorder="1" applyAlignment="1">
      <alignment horizontal="left" vertical="center" wrapText="1"/>
    </xf>
    <xf numFmtId="49" fontId="32" fillId="0" borderId="26" xfId="0" applyNumberFormat="1" applyFont="1" applyFill="1" applyBorder="1" applyAlignment="1">
      <alignment vertical="center" wrapText="1"/>
    </xf>
    <xf numFmtId="49" fontId="32" fillId="3" borderId="26" xfId="0" applyNumberFormat="1" applyFont="1" applyFill="1" applyBorder="1" applyAlignment="1">
      <alignment vertical="center" wrapText="1"/>
    </xf>
    <xf numFmtId="0" fontId="56" fillId="0" borderId="19" xfId="5" applyFont="1" applyFill="1" applyBorder="1" applyAlignment="1">
      <alignment vertical="center" wrapText="1"/>
    </xf>
    <xf numFmtId="0" fontId="56" fillId="0" borderId="19" xfId="5" applyFont="1" applyFill="1" applyBorder="1" applyAlignment="1">
      <alignment horizontal="left" vertical="center" wrapText="1"/>
    </xf>
    <xf numFmtId="0" fontId="56" fillId="0" borderId="19" xfId="5" applyFont="1" applyBorder="1" applyAlignment="1">
      <alignment horizontal="left" vertical="center"/>
    </xf>
    <xf numFmtId="0" fontId="56" fillId="0" borderId="19" xfId="5" applyFont="1" applyBorder="1" applyAlignment="1">
      <alignment horizontal="left" vertical="center" wrapText="1"/>
    </xf>
    <xf numFmtId="0" fontId="51" fillId="0" borderId="19" xfId="0" applyFont="1" applyBorder="1" applyAlignment="1">
      <alignment horizontal="left" vertical="center"/>
    </xf>
    <xf numFmtId="0" fontId="51" fillId="0" borderId="19" xfId="0" applyFont="1" applyFill="1" applyBorder="1" applyAlignment="1">
      <alignment horizontal="left" vertical="center"/>
    </xf>
    <xf numFmtId="0" fontId="51" fillId="0" borderId="19" xfId="0" applyFont="1" applyFill="1" applyBorder="1" applyAlignment="1">
      <alignment horizontal="left" vertical="center" wrapText="1"/>
    </xf>
    <xf numFmtId="0" fontId="32" fillId="0" borderId="19" xfId="3" applyFont="1" applyBorder="1">
      <alignment vertical="center"/>
    </xf>
    <xf numFmtId="0" fontId="32" fillId="0" borderId="19" xfId="5" applyFont="1" applyFill="1" applyBorder="1" applyAlignment="1">
      <alignment horizontal="left" vertical="center" wrapText="1"/>
    </xf>
    <xf numFmtId="0" fontId="51" fillId="0" borderId="19" xfId="0" applyFont="1" applyBorder="1" applyAlignment="1">
      <alignment horizontal="left" vertical="center" wrapText="1"/>
    </xf>
    <xf numFmtId="0" fontId="42" fillId="13" borderId="29" xfId="0" applyFont="1" applyFill="1" applyBorder="1" applyAlignment="1">
      <alignment horizontal="center" vertical="center" wrapText="1"/>
    </xf>
    <xf numFmtId="49" fontId="42" fillId="13" borderId="29" xfId="0" applyNumberFormat="1" applyFont="1" applyFill="1" applyBorder="1" applyAlignment="1">
      <alignment horizontal="center" vertical="center" wrapText="1"/>
    </xf>
    <xf numFmtId="0" fontId="51" fillId="0" borderId="26" xfId="0" applyFont="1" applyBorder="1" applyAlignment="1">
      <alignment vertic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2" fillId="2" borderId="1" xfId="0" applyFont="1" applyFill="1" applyBorder="1" applyAlignment="1">
      <alignment horizontal="center" vertical="center" readingOrder="1"/>
    </xf>
    <xf numFmtId="0" fontId="2" fillId="2" borderId="2" xfId="0" applyFont="1" applyFill="1" applyBorder="1" applyAlignment="1">
      <alignment horizontal="center" vertical="center" readingOrder="1"/>
    </xf>
    <xf numFmtId="0" fontId="4" fillId="3" borderId="3" xfId="0" applyFont="1" applyFill="1" applyBorder="1" applyAlignment="1">
      <alignment horizontal="left" vertical="center" wrapText="1" readingOrder="1"/>
    </xf>
    <xf numFmtId="0" fontId="4" fillId="3" borderId="4" xfId="0" applyFont="1" applyFill="1" applyBorder="1" applyAlignment="1">
      <alignment horizontal="left" vertical="center" wrapText="1" readingOrder="1"/>
    </xf>
    <xf numFmtId="0" fontId="7" fillId="0" borderId="3" xfId="0" applyFont="1" applyFill="1" applyBorder="1" applyAlignment="1">
      <alignment vertical="center" wrapText="1" readingOrder="1"/>
    </xf>
    <xf numFmtId="0" fontId="7" fillId="0" borderId="4" xfId="0" applyFont="1" applyFill="1" applyBorder="1" applyAlignment="1">
      <alignment vertical="center" wrapText="1" readingOrder="1"/>
    </xf>
    <xf numFmtId="0" fontId="20" fillId="7" borderId="15" xfId="0" applyFont="1" applyFill="1" applyBorder="1" applyAlignment="1">
      <alignment horizontal="center"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0" fontId="12" fillId="8" borderId="43" xfId="0" applyFont="1" applyFill="1" applyBorder="1" applyAlignment="1">
      <alignment horizontal="center" vertical="center" wrapText="1"/>
    </xf>
    <xf numFmtId="0" fontId="12" fillId="8" borderId="46" xfId="0" applyFont="1" applyFill="1" applyBorder="1" applyAlignment="1">
      <alignment horizontal="center" vertical="center" wrapText="1"/>
    </xf>
    <xf numFmtId="0" fontId="43" fillId="9" borderId="15" xfId="0" applyFont="1" applyFill="1" applyBorder="1" applyAlignment="1">
      <alignment horizontal="center" vertical="center" wrapText="1"/>
    </xf>
    <xf numFmtId="0" fontId="43" fillId="9" borderId="15" xfId="0" applyFont="1" applyFill="1" applyBorder="1" applyAlignment="1">
      <alignment horizontal="center" vertical="center"/>
    </xf>
    <xf numFmtId="0" fontId="25" fillId="11" borderId="37" xfId="0" applyFont="1" applyFill="1" applyBorder="1" applyAlignment="1">
      <alignment horizontal="center" vertical="center" wrapText="1"/>
    </xf>
    <xf numFmtId="0" fontId="25" fillId="11" borderId="39" xfId="0" applyFont="1" applyFill="1" applyBorder="1" applyAlignment="1">
      <alignment horizontal="center" vertical="center" wrapText="1"/>
    </xf>
    <xf numFmtId="0" fontId="12" fillId="11" borderId="37"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12" fillId="11" borderId="39" xfId="0" applyFont="1" applyFill="1" applyBorder="1" applyAlignment="1">
      <alignment horizontal="center" vertical="center" wrapText="1"/>
    </xf>
    <xf numFmtId="0" fontId="60" fillId="17" borderId="15" xfId="0" applyFont="1" applyFill="1" applyBorder="1" applyAlignment="1">
      <alignment horizontal="center" vertical="center" readingOrder="1"/>
    </xf>
    <xf numFmtId="0" fontId="51" fillId="3" borderId="26" xfId="0" applyFont="1" applyFill="1" applyBorder="1" applyAlignment="1">
      <alignment horizontal="right" vertical="center" wrapText="1"/>
    </xf>
    <xf numFmtId="0" fontId="51" fillId="3" borderId="26" xfId="0" applyFont="1" applyFill="1" applyBorder="1" applyAlignment="1">
      <alignment horizontal="left" vertical="center" wrapText="1"/>
    </xf>
    <xf numFmtId="0" fontId="51" fillId="0" borderId="19" xfId="4" applyFont="1" applyFill="1" applyBorder="1" applyAlignment="1">
      <alignment vertical="center" wrapText="1"/>
    </xf>
    <xf numFmtId="0" fontId="51" fillId="0" borderId="20" xfId="4" applyFont="1" applyFill="1" applyBorder="1" applyAlignment="1">
      <alignment vertical="center"/>
    </xf>
    <xf numFmtId="178" fontId="51" fillId="0" borderId="20" xfId="4" applyNumberFormat="1" applyFont="1" applyFill="1" applyBorder="1" applyAlignment="1">
      <alignment vertical="center"/>
    </xf>
    <xf numFmtId="0" fontId="51" fillId="0" borderId="21" xfId="4" applyFont="1" applyFill="1" applyBorder="1" applyAlignment="1">
      <alignment vertical="center"/>
    </xf>
    <xf numFmtId="0" fontId="51" fillId="0" borderId="26" xfId="0" applyFont="1" applyBorder="1" applyAlignment="1">
      <alignment vertical="top" wrapText="1"/>
    </xf>
    <xf numFmtId="0" fontId="51" fillId="0" borderId="26" xfId="0" applyFont="1" applyBorder="1" applyAlignment="1">
      <alignment horizontal="center" vertical="top" wrapText="1"/>
    </xf>
    <xf numFmtId="178" fontId="51" fillId="0" borderId="26" xfId="0" applyNumberFormat="1" applyFont="1" applyBorder="1" applyAlignment="1">
      <alignment vertical="top" wrapText="1"/>
    </xf>
    <xf numFmtId="0" fontId="32" fillId="0" borderId="26" xfId="0" applyFont="1" applyBorder="1" applyAlignment="1">
      <alignment vertical="top" wrapText="1"/>
    </xf>
    <xf numFmtId="0" fontId="32" fillId="0" borderId="26" xfId="0" applyFont="1" applyBorder="1" applyAlignment="1">
      <alignment horizontal="center" vertical="top" wrapText="1"/>
    </xf>
    <xf numFmtId="178" fontId="32" fillId="0" borderId="26" xfId="0" applyNumberFormat="1" applyFont="1" applyBorder="1" applyAlignment="1">
      <alignment vertical="top" wrapText="1"/>
    </xf>
  </cellXfs>
  <cellStyles count="6">
    <cellStyle name="ハイパーリンク" xfId="5" builtinId="8"/>
    <cellStyle name="桁区切り" xfId="2" builtinId="6"/>
    <cellStyle name="桁区切り [0.00]" xfId="1" builtinId="3"/>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doughnutChart>
        <c:varyColors val="1"/>
        <c:ser>
          <c:idx val="0"/>
          <c:order val="0"/>
          <c:dPt>
            <c:idx val="0"/>
            <c:bubble3D val="0"/>
            <c:spPr>
              <a:solidFill>
                <a:schemeClr val="accent4">
                  <a:shade val="53000"/>
                </a:schemeClr>
              </a:solidFill>
              <a:ln w="19050">
                <a:solidFill>
                  <a:schemeClr val="lt1"/>
                </a:solidFill>
              </a:ln>
              <a:effectLst/>
            </c:spPr>
            <c:extLst>
              <c:ext xmlns:c16="http://schemas.microsoft.com/office/drawing/2014/chart" uri="{C3380CC4-5D6E-409C-BE32-E72D297353CC}">
                <c16:uniqueId val="{00000001-982E-478C-B0F6-D33DCD1191B1}"/>
              </c:ext>
            </c:extLst>
          </c:dPt>
          <c:dPt>
            <c:idx val="1"/>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3-982E-478C-B0F6-D33DCD1191B1}"/>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982E-478C-B0F6-D33DCD1191B1}"/>
              </c:ext>
            </c:extLst>
          </c:dPt>
          <c:dPt>
            <c:idx val="3"/>
            <c:bubble3D val="0"/>
            <c:spPr>
              <a:solidFill>
                <a:schemeClr val="accent4">
                  <a:tint val="54000"/>
                </a:schemeClr>
              </a:solidFill>
              <a:ln w="19050">
                <a:solidFill>
                  <a:schemeClr val="lt1"/>
                </a:solidFill>
              </a:ln>
              <a:effectLst/>
            </c:spPr>
            <c:extLst>
              <c:ext xmlns:c16="http://schemas.microsoft.com/office/drawing/2014/chart" uri="{C3380CC4-5D6E-409C-BE32-E72D297353CC}">
                <c16:uniqueId val="{00000007-982E-478C-B0F6-D33DCD1191B1}"/>
              </c:ext>
            </c:extLst>
          </c:dPt>
          <c:dLbls>
            <c:dLbl>
              <c:idx val="0"/>
              <c:layout>
                <c:manualLayout>
                  <c:x val="4.7515323405371762E-4"/>
                  <c:y val="1.8334732280784114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2294422162600285"/>
                      <c:h val="0.19447049122104146"/>
                    </c:manualLayout>
                  </c15:layout>
                </c:ext>
                <c:ext xmlns:c16="http://schemas.microsoft.com/office/drawing/2014/chart" uri="{C3380CC4-5D6E-409C-BE32-E72D297353CC}">
                  <c16:uniqueId val="{00000001-982E-478C-B0F6-D33DCD1191B1}"/>
                </c:ext>
              </c:extLst>
            </c:dLbl>
            <c:dLbl>
              <c:idx val="1"/>
              <c:layout>
                <c:manualLayout>
                  <c:x val="6.4390383147331217E-3"/>
                  <c:y val="4.53996340205994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2E-478C-B0F6-D33DCD1191B1}"/>
                </c:ext>
              </c:extLst>
            </c:dLbl>
            <c:dLbl>
              <c:idx val="2"/>
              <c:layout>
                <c:manualLayout>
                  <c:x val="-0.22710213159338538"/>
                  <c:y val="-6.67498251827746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82E-478C-B0F6-D33DCD1191B1}"/>
                </c:ext>
              </c:extLst>
            </c:dLbl>
            <c:dLbl>
              <c:idx val="3"/>
              <c:layout>
                <c:manualLayout>
                  <c:x val="0.26000000000000006"/>
                  <c:y val="-0.1173917223121917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82E-478C-B0F6-D33DCD1191B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Energy Efficiency</c:v>
              </c:pt>
              <c:pt idx="1">
                <c:v>Renewable energy</c:v>
              </c:pt>
              <c:pt idx="2">
                <c:v>Waste management &amp; biomass utilisation</c:v>
              </c:pt>
              <c:pt idx="3">
                <c:v>Transportation</c:v>
              </c:pt>
            </c:strLit>
          </c:cat>
          <c:val>
            <c:numRef>
              <c:f>Methodologies_summary!$C$23:$F$23</c:f>
              <c:numCache>
                <c:formatCode>General</c:formatCode>
                <c:ptCount val="4"/>
                <c:pt idx="0">
                  <c:v>53</c:v>
                </c:pt>
                <c:pt idx="1">
                  <c:v>22</c:v>
                </c:pt>
                <c:pt idx="2">
                  <c:v>4</c:v>
                </c:pt>
                <c:pt idx="3">
                  <c:v>1</c:v>
                </c:pt>
              </c:numCache>
            </c:numRef>
          </c:val>
          <c:extLst>
            <c:ext xmlns:c16="http://schemas.microsoft.com/office/drawing/2014/chart" uri="{C3380CC4-5D6E-409C-BE32-E72D297353CC}">
              <c16:uniqueId val="{00000008-982E-478C-B0F6-D33DCD1191B1}"/>
            </c:ext>
          </c:extLst>
        </c:ser>
        <c:dLbls>
          <c:showLegendKey val="0"/>
          <c:showVal val="1"/>
          <c:showCatName val="1"/>
          <c:showSerName val="0"/>
          <c:showPercent val="0"/>
          <c:showBubbleSize val="0"/>
          <c:showLeaderLines val="1"/>
        </c:dLbls>
        <c:firstSliceAng val="0"/>
        <c:holeSize val="5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'Financed Projects_summary'!$C$6</c:f>
              <c:strCache>
                <c:ptCount val="1"/>
                <c:pt idx="0">
                  <c:v>FY2012</c:v>
                </c:pt>
              </c:strCache>
            </c:strRef>
          </c:tx>
          <c:spPr>
            <a:solidFill>
              <a:schemeClr val="accent1"/>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Projects_summary'!$C$7:$C$23</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numCache>
            </c:numRef>
          </c:val>
          <c:extLst>
            <c:ext xmlns:c16="http://schemas.microsoft.com/office/drawing/2014/chart" uri="{C3380CC4-5D6E-409C-BE32-E72D297353CC}">
              <c16:uniqueId val="{00000000-FCDD-476B-BB50-07EE02D5A2EC}"/>
            </c:ext>
          </c:extLst>
        </c:ser>
        <c:ser>
          <c:idx val="1"/>
          <c:order val="1"/>
          <c:tx>
            <c:strRef>
              <c:f>'Financed Projects_summary'!$D$6</c:f>
              <c:strCache>
                <c:ptCount val="1"/>
                <c:pt idx="0">
                  <c:v>FY2013</c:v>
                </c:pt>
              </c:strCache>
            </c:strRef>
          </c:tx>
          <c:spPr>
            <a:solidFill>
              <a:schemeClr val="accent2"/>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Projects_summary'!$D$7:$D$23</c:f>
              <c:numCache>
                <c:formatCode>General</c:formatCode>
                <c:ptCount val="17"/>
                <c:pt idx="0">
                  <c:v>7</c:v>
                </c:pt>
                <c:pt idx="1">
                  <c:v>0</c:v>
                </c:pt>
                <c:pt idx="2">
                  <c:v>2</c:v>
                </c:pt>
                <c:pt idx="3">
                  <c:v>0</c:v>
                </c:pt>
                <c:pt idx="4">
                  <c:v>2</c:v>
                </c:pt>
                <c:pt idx="5">
                  <c:v>0</c:v>
                </c:pt>
                <c:pt idx="6">
                  <c:v>0</c:v>
                </c:pt>
                <c:pt idx="7">
                  <c:v>0</c:v>
                </c:pt>
                <c:pt idx="8">
                  <c:v>0</c:v>
                </c:pt>
                <c:pt idx="9">
                  <c:v>0</c:v>
                </c:pt>
                <c:pt idx="10">
                  <c:v>1</c:v>
                </c:pt>
                <c:pt idx="11">
                  <c:v>0</c:v>
                </c:pt>
                <c:pt idx="12">
                  <c:v>0</c:v>
                </c:pt>
                <c:pt idx="13">
                  <c:v>0</c:v>
                </c:pt>
                <c:pt idx="14">
                  <c:v>0</c:v>
                </c:pt>
                <c:pt idx="15">
                  <c:v>0</c:v>
                </c:pt>
                <c:pt idx="16">
                  <c:v>0</c:v>
                </c:pt>
              </c:numCache>
            </c:numRef>
          </c:val>
          <c:extLst>
            <c:ext xmlns:c16="http://schemas.microsoft.com/office/drawing/2014/chart" uri="{C3380CC4-5D6E-409C-BE32-E72D297353CC}">
              <c16:uniqueId val="{00000001-FCDD-476B-BB50-07EE02D5A2EC}"/>
            </c:ext>
          </c:extLst>
        </c:ser>
        <c:ser>
          <c:idx val="2"/>
          <c:order val="2"/>
          <c:tx>
            <c:strRef>
              <c:f>'Financed Projects_summary'!$E$6</c:f>
              <c:strCache>
                <c:ptCount val="1"/>
                <c:pt idx="0">
                  <c:v>FY2014</c:v>
                </c:pt>
              </c:strCache>
            </c:strRef>
          </c:tx>
          <c:spPr>
            <a:solidFill>
              <a:schemeClr val="accent3"/>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Projects_summary'!$E$7:$E$23</c:f>
              <c:numCache>
                <c:formatCode>General</c:formatCode>
                <c:ptCount val="17"/>
                <c:pt idx="0">
                  <c:v>6</c:v>
                </c:pt>
                <c:pt idx="1">
                  <c:v>0</c:v>
                </c:pt>
                <c:pt idx="2">
                  <c:v>2</c:v>
                </c:pt>
                <c:pt idx="3">
                  <c:v>0</c:v>
                </c:pt>
                <c:pt idx="4">
                  <c:v>0</c:v>
                </c:pt>
                <c:pt idx="5">
                  <c:v>0</c:v>
                </c:pt>
                <c:pt idx="6">
                  <c:v>0</c:v>
                </c:pt>
                <c:pt idx="7">
                  <c:v>0</c:v>
                </c:pt>
                <c:pt idx="8">
                  <c:v>1</c:v>
                </c:pt>
                <c:pt idx="9">
                  <c:v>1</c:v>
                </c:pt>
                <c:pt idx="10">
                  <c:v>2</c:v>
                </c:pt>
                <c:pt idx="11">
                  <c:v>0</c:v>
                </c:pt>
                <c:pt idx="12">
                  <c:v>0</c:v>
                </c:pt>
                <c:pt idx="13">
                  <c:v>2</c:v>
                </c:pt>
                <c:pt idx="14">
                  <c:v>0</c:v>
                </c:pt>
                <c:pt idx="15">
                  <c:v>0</c:v>
                </c:pt>
                <c:pt idx="16">
                  <c:v>0</c:v>
                </c:pt>
              </c:numCache>
            </c:numRef>
          </c:val>
          <c:extLst>
            <c:ext xmlns:c16="http://schemas.microsoft.com/office/drawing/2014/chart" uri="{C3380CC4-5D6E-409C-BE32-E72D297353CC}">
              <c16:uniqueId val="{00000002-FCDD-476B-BB50-07EE02D5A2EC}"/>
            </c:ext>
          </c:extLst>
        </c:ser>
        <c:ser>
          <c:idx val="3"/>
          <c:order val="3"/>
          <c:tx>
            <c:strRef>
              <c:f>'Financed Projects_summary'!$F$6</c:f>
              <c:strCache>
                <c:ptCount val="1"/>
                <c:pt idx="0">
                  <c:v>FY2015</c:v>
                </c:pt>
              </c:strCache>
            </c:strRef>
          </c:tx>
          <c:spPr>
            <a:solidFill>
              <a:schemeClr val="accent4"/>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Projects_summary'!$F$7:$F$23</c:f>
              <c:numCache>
                <c:formatCode>General</c:formatCode>
                <c:ptCount val="17"/>
                <c:pt idx="0">
                  <c:v>8</c:v>
                </c:pt>
                <c:pt idx="1">
                  <c:v>7</c:v>
                </c:pt>
                <c:pt idx="2">
                  <c:v>8</c:v>
                </c:pt>
                <c:pt idx="3">
                  <c:v>0</c:v>
                </c:pt>
                <c:pt idx="4">
                  <c:v>2</c:v>
                </c:pt>
                <c:pt idx="5">
                  <c:v>1</c:v>
                </c:pt>
                <c:pt idx="6">
                  <c:v>2</c:v>
                </c:pt>
                <c:pt idx="7">
                  <c:v>0</c:v>
                </c:pt>
                <c:pt idx="8">
                  <c:v>3</c:v>
                </c:pt>
                <c:pt idx="9">
                  <c:v>1</c:v>
                </c:pt>
                <c:pt idx="10">
                  <c:v>0</c:v>
                </c:pt>
                <c:pt idx="11">
                  <c:v>0</c:v>
                </c:pt>
                <c:pt idx="12">
                  <c:v>1</c:v>
                </c:pt>
                <c:pt idx="13">
                  <c:v>0</c:v>
                </c:pt>
                <c:pt idx="14">
                  <c:v>0</c:v>
                </c:pt>
                <c:pt idx="15">
                  <c:v>0</c:v>
                </c:pt>
                <c:pt idx="16">
                  <c:v>1</c:v>
                </c:pt>
              </c:numCache>
            </c:numRef>
          </c:val>
          <c:extLst>
            <c:ext xmlns:c16="http://schemas.microsoft.com/office/drawing/2014/chart" uri="{C3380CC4-5D6E-409C-BE32-E72D297353CC}">
              <c16:uniqueId val="{00000003-FCDD-476B-BB50-07EE02D5A2EC}"/>
            </c:ext>
          </c:extLst>
        </c:ser>
        <c:ser>
          <c:idx val="4"/>
          <c:order val="4"/>
          <c:tx>
            <c:strRef>
              <c:f>'Financed Projects_summary'!$G$6</c:f>
              <c:strCache>
                <c:ptCount val="1"/>
                <c:pt idx="0">
                  <c:v>FY2016</c:v>
                </c:pt>
              </c:strCache>
            </c:strRef>
          </c:tx>
          <c:spPr>
            <a:solidFill>
              <a:schemeClr val="accent5"/>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Projects_summary'!$G$7:$G$23</c:f>
              <c:numCache>
                <c:formatCode>General</c:formatCode>
                <c:ptCount val="17"/>
                <c:pt idx="0">
                  <c:v>5</c:v>
                </c:pt>
                <c:pt idx="1">
                  <c:v>14</c:v>
                </c:pt>
                <c:pt idx="2">
                  <c:v>4</c:v>
                </c:pt>
                <c:pt idx="3">
                  <c:v>0</c:v>
                </c:pt>
                <c:pt idx="4">
                  <c:v>1</c:v>
                </c:pt>
                <c:pt idx="5">
                  <c:v>4</c:v>
                </c:pt>
                <c:pt idx="6">
                  <c:v>2</c:v>
                </c:pt>
                <c:pt idx="7">
                  <c:v>2</c:v>
                </c:pt>
                <c:pt idx="8">
                  <c:v>0</c:v>
                </c:pt>
                <c:pt idx="9">
                  <c:v>0</c:v>
                </c:pt>
                <c:pt idx="10">
                  <c:v>0</c:v>
                </c:pt>
                <c:pt idx="11">
                  <c:v>1</c:v>
                </c:pt>
                <c:pt idx="12">
                  <c:v>0</c:v>
                </c:pt>
                <c:pt idx="13">
                  <c:v>0</c:v>
                </c:pt>
                <c:pt idx="14">
                  <c:v>2</c:v>
                </c:pt>
                <c:pt idx="15">
                  <c:v>0</c:v>
                </c:pt>
                <c:pt idx="16">
                  <c:v>0</c:v>
                </c:pt>
              </c:numCache>
            </c:numRef>
          </c:val>
          <c:extLst>
            <c:ext xmlns:c16="http://schemas.microsoft.com/office/drawing/2014/chart" uri="{C3380CC4-5D6E-409C-BE32-E72D297353CC}">
              <c16:uniqueId val="{00000004-FCDD-476B-BB50-07EE02D5A2EC}"/>
            </c:ext>
          </c:extLst>
        </c:ser>
        <c:ser>
          <c:idx val="5"/>
          <c:order val="5"/>
          <c:tx>
            <c:strRef>
              <c:f>'Financed Projects_summary'!$H$6</c:f>
              <c:strCache>
                <c:ptCount val="1"/>
                <c:pt idx="0">
                  <c:v>FY2017</c:v>
                </c:pt>
              </c:strCache>
            </c:strRef>
          </c:tx>
          <c:spPr>
            <a:solidFill>
              <a:schemeClr val="accent6"/>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Projects_summary'!$H$7:$H$23</c:f>
              <c:numCache>
                <c:formatCode>General</c:formatCode>
                <c:ptCount val="17"/>
                <c:pt idx="0">
                  <c:v>2</c:v>
                </c:pt>
                <c:pt idx="1">
                  <c:v>1</c:v>
                </c:pt>
                <c:pt idx="2">
                  <c:v>3</c:v>
                </c:pt>
                <c:pt idx="3">
                  <c:v>5</c:v>
                </c:pt>
                <c:pt idx="4">
                  <c:v>1</c:v>
                </c:pt>
                <c:pt idx="5">
                  <c:v>0</c:v>
                </c:pt>
                <c:pt idx="6">
                  <c:v>1</c:v>
                </c:pt>
                <c:pt idx="7">
                  <c:v>1</c:v>
                </c:pt>
                <c:pt idx="8">
                  <c:v>0</c:v>
                </c:pt>
                <c:pt idx="9">
                  <c:v>2</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5-FCDD-476B-BB50-07EE02D5A2EC}"/>
            </c:ext>
          </c:extLst>
        </c:ser>
        <c:ser>
          <c:idx val="6"/>
          <c:order val="6"/>
          <c:tx>
            <c:strRef>
              <c:f>'Financed Projects_summary'!$I$6</c:f>
              <c:strCache>
                <c:ptCount val="1"/>
                <c:pt idx="0">
                  <c:v>FY2018</c:v>
                </c:pt>
              </c:strCache>
            </c:strRef>
          </c:tx>
          <c:spPr>
            <a:solidFill>
              <a:schemeClr val="accent1">
                <a:lumMod val="60000"/>
              </a:schemeClr>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Projects_summary'!$I$7:$I$23</c:f>
              <c:numCache>
                <c:formatCode>General</c:formatCode>
                <c:ptCount val="17"/>
                <c:pt idx="0">
                  <c:v>5</c:v>
                </c:pt>
                <c:pt idx="1">
                  <c:v>6</c:v>
                </c:pt>
                <c:pt idx="2">
                  <c:v>3</c:v>
                </c:pt>
                <c:pt idx="3">
                  <c:v>3</c:v>
                </c:pt>
                <c:pt idx="4">
                  <c:v>2</c:v>
                </c:pt>
                <c:pt idx="5">
                  <c:v>2</c:v>
                </c:pt>
                <c:pt idx="6">
                  <c:v>0</c:v>
                </c:pt>
                <c:pt idx="7">
                  <c:v>2</c:v>
                </c:pt>
                <c:pt idx="8">
                  <c:v>1</c:v>
                </c:pt>
                <c:pt idx="9">
                  <c:v>1</c:v>
                </c:pt>
                <c:pt idx="10">
                  <c:v>1</c:v>
                </c:pt>
                <c:pt idx="11">
                  <c:v>1</c:v>
                </c:pt>
                <c:pt idx="12">
                  <c:v>1</c:v>
                </c:pt>
                <c:pt idx="13">
                  <c:v>0</c:v>
                </c:pt>
                <c:pt idx="14">
                  <c:v>0</c:v>
                </c:pt>
                <c:pt idx="15">
                  <c:v>0</c:v>
                </c:pt>
                <c:pt idx="16">
                  <c:v>0</c:v>
                </c:pt>
              </c:numCache>
            </c:numRef>
          </c:val>
          <c:extLst>
            <c:ext xmlns:c16="http://schemas.microsoft.com/office/drawing/2014/chart" uri="{C3380CC4-5D6E-409C-BE32-E72D297353CC}">
              <c16:uniqueId val="{00000006-FCDD-476B-BB50-07EE02D5A2EC}"/>
            </c:ext>
          </c:extLst>
        </c:ser>
        <c:ser>
          <c:idx val="7"/>
          <c:order val="7"/>
          <c:tx>
            <c:strRef>
              <c:f>'Financed Projects_summary'!$J$6</c:f>
              <c:strCache>
                <c:ptCount val="1"/>
                <c:pt idx="0">
                  <c:v>FY2019</c:v>
                </c:pt>
              </c:strCache>
            </c:strRef>
          </c:tx>
          <c:spPr>
            <a:solidFill>
              <a:schemeClr val="accent2">
                <a:lumMod val="60000"/>
              </a:schemeClr>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Projects_summary'!$J$7:$J$23</c:f>
              <c:numCache>
                <c:formatCode>General</c:formatCode>
                <c:ptCount val="17"/>
                <c:pt idx="0">
                  <c:v>4</c:v>
                </c:pt>
                <c:pt idx="1">
                  <c:v>4</c:v>
                </c:pt>
                <c:pt idx="2">
                  <c:v>5</c:v>
                </c:pt>
                <c:pt idx="3">
                  <c:v>4</c:v>
                </c:pt>
                <c:pt idx="4">
                  <c:v>2</c:v>
                </c:pt>
                <c:pt idx="5">
                  <c:v>0</c:v>
                </c:pt>
                <c:pt idx="6">
                  <c:v>2</c:v>
                </c:pt>
                <c:pt idx="7">
                  <c:v>1</c:v>
                </c:pt>
                <c:pt idx="8">
                  <c:v>0</c:v>
                </c:pt>
                <c:pt idx="9">
                  <c:v>0</c:v>
                </c:pt>
                <c:pt idx="10">
                  <c:v>1</c:v>
                </c:pt>
                <c:pt idx="11">
                  <c:v>2</c:v>
                </c:pt>
                <c:pt idx="12">
                  <c:v>0</c:v>
                </c:pt>
                <c:pt idx="13">
                  <c:v>0</c:v>
                </c:pt>
                <c:pt idx="14">
                  <c:v>0</c:v>
                </c:pt>
                <c:pt idx="15">
                  <c:v>1</c:v>
                </c:pt>
                <c:pt idx="16">
                  <c:v>0</c:v>
                </c:pt>
              </c:numCache>
            </c:numRef>
          </c:val>
          <c:extLst>
            <c:ext xmlns:c16="http://schemas.microsoft.com/office/drawing/2014/chart" uri="{C3380CC4-5D6E-409C-BE32-E72D297353CC}">
              <c16:uniqueId val="{00000007-FCDD-476B-BB50-07EE02D5A2EC}"/>
            </c:ext>
          </c:extLst>
        </c:ser>
        <c:ser>
          <c:idx val="8"/>
          <c:order val="8"/>
          <c:tx>
            <c:strRef>
              <c:f>'Financed Projects_summary'!$K$6</c:f>
              <c:strCache>
                <c:ptCount val="1"/>
                <c:pt idx="0">
                  <c:v>FY2020</c:v>
                </c:pt>
              </c:strCache>
            </c:strRef>
          </c:tx>
          <c:spPr>
            <a:solidFill>
              <a:schemeClr val="accent3">
                <a:lumMod val="60000"/>
              </a:schemeClr>
            </a:solidFill>
            <a:ln>
              <a:noFill/>
            </a:ln>
            <a:effectLst/>
          </c:spPr>
          <c:invertIfNegative val="0"/>
          <c:cat>
            <c:strRef>
              <c:f>'Financed Projects_summary'!$B$7:$B$23</c:f>
              <c:strCache>
                <c:ptCount val="17"/>
                <c:pt idx="0">
                  <c:v>Indonesia</c:v>
                </c:pt>
                <c:pt idx="1">
                  <c:v>Thailand</c:v>
                </c:pt>
                <c:pt idx="2">
                  <c:v>Viet Nam</c:v>
                </c:pt>
                <c:pt idx="3">
                  <c:v>Philippines</c:v>
                </c:pt>
                <c:pt idx="4">
                  <c:v>Mongolia</c:v>
                </c:pt>
                <c:pt idx="5">
                  <c:v>Myanmar</c:v>
                </c:pt>
                <c:pt idx="6">
                  <c:v>Cambodia</c:v>
                </c:pt>
                <c:pt idx="7">
                  <c:v>Mexico</c:v>
                </c:pt>
                <c:pt idx="8">
                  <c:v>Bangladesh</c:v>
                </c:pt>
                <c:pt idx="9">
                  <c:v>Lao PDR</c:v>
                </c:pt>
                <c:pt idx="10">
                  <c:v>Palau</c:v>
                </c:pt>
                <c:pt idx="11">
                  <c:v>Chile</c:v>
                </c:pt>
                <c:pt idx="12">
                  <c:v>Kenya</c:v>
                </c:pt>
                <c:pt idx="13">
                  <c:v>Maldives</c:v>
                </c:pt>
                <c:pt idx="14">
                  <c:v>Costa Rica</c:v>
                </c:pt>
                <c:pt idx="15">
                  <c:v>Ethiopia</c:v>
                </c:pt>
                <c:pt idx="16">
                  <c:v>Saudi Arabia</c:v>
                </c:pt>
              </c:strCache>
            </c:strRef>
          </c:cat>
          <c:val>
            <c:numRef>
              <c:f>'Financed Projects_summary'!$K$7:$K$23</c:f>
              <c:numCache>
                <c:formatCode>General</c:formatCode>
                <c:ptCount val="17"/>
                <c:pt idx="0">
                  <c:v>1</c:v>
                </c:pt>
                <c:pt idx="1">
                  <c:v>2</c:v>
                </c:pt>
                <c:pt idx="2">
                  <c:v>5</c:v>
                </c:pt>
                <c:pt idx="3">
                  <c:v>1</c:v>
                </c:pt>
                <c:pt idx="4">
                  <c:v>0</c:v>
                </c:pt>
                <c:pt idx="5">
                  <c:v>0</c:v>
                </c:pt>
                <c:pt idx="6">
                  <c:v>0</c:v>
                </c:pt>
                <c:pt idx="7">
                  <c:v>0</c:v>
                </c:pt>
                <c:pt idx="8">
                  <c:v>0</c:v>
                </c:pt>
                <c:pt idx="9">
                  <c:v>1</c:v>
                </c:pt>
                <c:pt idx="10">
                  <c:v>0</c:v>
                </c:pt>
                <c:pt idx="11">
                  <c:v>0</c:v>
                </c:pt>
                <c:pt idx="12">
                  <c:v>0</c:v>
                </c:pt>
                <c:pt idx="13">
                  <c:v>1</c:v>
                </c:pt>
                <c:pt idx="14">
                  <c:v>0</c:v>
                </c:pt>
                <c:pt idx="15">
                  <c:v>0</c:v>
                </c:pt>
                <c:pt idx="16">
                  <c:v>1</c:v>
                </c:pt>
              </c:numCache>
            </c:numRef>
          </c:val>
          <c:extLst>
            <c:ext xmlns:c16="http://schemas.microsoft.com/office/drawing/2014/chart" uri="{C3380CC4-5D6E-409C-BE32-E72D297353CC}">
              <c16:uniqueId val="{00000000-93E4-45CF-8D99-375BF444644E}"/>
            </c:ext>
          </c:extLst>
        </c:ser>
        <c:dLbls>
          <c:showLegendKey val="0"/>
          <c:showVal val="0"/>
          <c:showCatName val="0"/>
          <c:showSerName val="0"/>
          <c:showPercent val="0"/>
          <c:showBubbleSize val="0"/>
        </c:dLbls>
        <c:gapWidth val="55"/>
        <c:overlap val="100"/>
        <c:axId val="721161800"/>
        <c:axId val="721166392"/>
      </c:barChart>
      <c:catAx>
        <c:axId val="721161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721166392"/>
        <c:crosses val="autoZero"/>
        <c:auto val="1"/>
        <c:lblAlgn val="ctr"/>
        <c:lblOffset val="100"/>
        <c:noMultiLvlLbl val="0"/>
      </c:catAx>
      <c:valAx>
        <c:axId val="7211663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721161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5494114830337"/>
          <c:y val="6.0638056144198614E-2"/>
          <c:w val="0.59803287569196384"/>
          <c:h val="0.91060899446593202"/>
        </c:manualLayout>
      </c:layout>
      <c:barChart>
        <c:barDir val="bar"/>
        <c:grouping val="stacked"/>
        <c:varyColors val="0"/>
        <c:ser>
          <c:idx val="0"/>
          <c:order val="0"/>
          <c:tx>
            <c:v>Energy efficiency</c:v>
          </c:tx>
          <c:spPr>
            <a:solidFill>
              <a:schemeClr val="accent1"/>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25</c:v>
              </c:pt>
              <c:pt idx="1">
                <c:v>18</c:v>
              </c:pt>
              <c:pt idx="2">
                <c:v>19</c:v>
              </c:pt>
              <c:pt idx="3">
                <c:v>4</c:v>
              </c:pt>
              <c:pt idx="4">
                <c:v>0</c:v>
              </c:pt>
              <c:pt idx="5">
                <c:v>2</c:v>
              </c:pt>
              <c:pt idx="6">
                <c:v>2</c:v>
              </c:pt>
              <c:pt idx="7">
                <c:v>3</c:v>
              </c:pt>
              <c:pt idx="8">
                <c:v>2</c:v>
              </c:pt>
              <c:pt idx="9">
                <c:v>2</c:v>
              </c:pt>
              <c:pt idx="10">
                <c:v>0</c:v>
              </c:pt>
              <c:pt idx="11">
                <c:v>1</c:v>
              </c:pt>
              <c:pt idx="12">
                <c:v>0</c:v>
              </c:pt>
              <c:pt idx="13">
                <c:v>0</c:v>
              </c:pt>
              <c:pt idx="14">
                <c:v>0</c:v>
              </c:pt>
              <c:pt idx="15">
                <c:v>1</c:v>
              </c:pt>
              <c:pt idx="16">
                <c:v>0</c:v>
              </c:pt>
            </c:numLit>
          </c:val>
          <c:extLst>
            <c:ext xmlns:c16="http://schemas.microsoft.com/office/drawing/2014/chart" uri="{C3380CC4-5D6E-409C-BE32-E72D297353CC}">
              <c16:uniqueId val="{00000000-2BE8-4BF9-BC67-80373E435A42}"/>
            </c:ext>
          </c:extLst>
        </c:ser>
        <c:ser>
          <c:idx val="1"/>
          <c:order val="1"/>
          <c:tx>
            <c:v>Renewable energy</c:v>
          </c:tx>
          <c:spPr>
            <a:solidFill>
              <a:schemeClr val="accent2"/>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9</c:v>
              </c:pt>
              <c:pt idx="1">
                <c:v>9</c:v>
              </c:pt>
              <c:pt idx="2">
                <c:v>1</c:v>
              </c:pt>
              <c:pt idx="3">
                <c:v>6</c:v>
              </c:pt>
              <c:pt idx="4">
                <c:v>10</c:v>
              </c:pt>
              <c:pt idx="5">
                <c:v>0</c:v>
              </c:pt>
              <c:pt idx="6">
                <c:v>4</c:v>
              </c:pt>
              <c:pt idx="7">
                <c:v>2</c:v>
              </c:pt>
              <c:pt idx="8">
                <c:v>4</c:v>
              </c:pt>
              <c:pt idx="9">
                <c:v>2</c:v>
              </c:pt>
              <c:pt idx="10">
                <c:v>5</c:v>
              </c:pt>
              <c:pt idx="11">
                <c:v>1</c:v>
              </c:pt>
              <c:pt idx="12">
                <c:v>3</c:v>
              </c:pt>
              <c:pt idx="13">
                <c:v>2</c:v>
              </c:pt>
              <c:pt idx="14">
                <c:v>3</c:v>
              </c:pt>
              <c:pt idx="15">
                <c:v>0</c:v>
              </c:pt>
              <c:pt idx="16">
                <c:v>1</c:v>
              </c:pt>
            </c:numLit>
          </c:val>
          <c:extLst>
            <c:ext xmlns:c16="http://schemas.microsoft.com/office/drawing/2014/chart" uri="{C3380CC4-5D6E-409C-BE32-E72D297353CC}">
              <c16:uniqueId val="{00000001-2BE8-4BF9-BC67-80373E435A42}"/>
            </c:ext>
          </c:extLst>
        </c:ser>
        <c:ser>
          <c:idx val="2"/>
          <c:order val="2"/>
          <c:tx>
            <c:v>Transportation</c:v>
          </c:tx>
          <c:spPr>
            <a:solidFill>
              <a:schemeClr val="accent3"/>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1</c:v>
              </c:pt>
              <c:pt idx="1">
                <c:v>0</c:v>
              </c:pt>
              <c:pt idx="2">
                <c:v>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Lit>
          </c:val>
          <c:extLst>
            <c:ext xmlns:c16="http://schemas.microsoft.com/office/drawing/2014/chart" uri="{C3380CC4-5D6E-409C-BE32-E72D297353CC}">
              <c16:uniqueId val="{00000002-2BE8-4BF9-BC67-80373E435A42}"/>
            </c:ext>
          </c:extLst>
        </c:ser>
        <c:ser>
          <c:idx val="3"/>
          <c:order val="3"/>
          <c:tx>
            <c:v>Waste management &amp; biomass utilisation</c:v>
          </c:tx>
          <c:spPr>
            <a:solidFill>
              <a:schemeClr val="accent4"/>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2</c:v>
              </c:pt>
              <c:pt idx="1">
                <c:v>5</c:v>
              </c:pt>
              <c:pt idx="2">
                <c:v>1</c:v>
              </c:pt>
              <c:pt idx="3">
                <c:v>0</c:v>
              </c:pt>
              <c:pt idx="4">
                <c:v>2</c:v>
              </c:pt>
              <c:pt idx="5">
                <c:v>5</c:v>
              </c:pt>
              <c:pt idx="6">
                <c:v>1</c:v>
              </c:pt>
              <c:pt idx="7">
                <c:v>0</c:v>
              </c:pt>
              <c:pt idx="8">
                <c:v>0</c:v>
              </c:pt>
              <c:pt idx="9">
                <c:v>0</c:v>
              </c:pt>
              <c:pt idx="10">
                <c:v>0</c:v>
              </c:pt>
              <c:pt idx="11">
                <c:v>0</c:v>
              </c:pt>
              <c:pt idx="12">
                <c:v>0</c:v>
              </c:pt>
              <c:pt idx="13">
                <c:v>0</c:v>
              </c:pt>
              <c:pt idx="14">
                <c:v>1</c:v>
              </c:pt>
              <c:pt idx="15">
                <c:v>0</c:v>
              </c:pt>
              <c:pt idx="16">
                <c:v>0</c:v>
              </c:pt>
            </c:numLit>
          </c:val>
          <c:extLst>
            <c:ext xmlns:c16="http://schemas.microsoft.com/office/drawing/2014/chart" uri="{C3380CC4-5D6E-409C-BE32-E72D297353CC}">
              <c16:uniqueId val="{00000003-2BE8-4BF9-BC67-80373E435A42}"/>
            </c:ext>
          </c:extLst>
        </c:ser>
        <c:ser>
          <c:idx val="4"/>
          <c:order val="4"/>
          <c:tx>
            <c:v>F-gas recovery and destruction</c:v>
          </c:tx>
          <c:spPr>
            <a:solidFill>
              <a:schemeClr val="accent5"/>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0</c:v>
              </c:pt>
              <c:pt idx="1">
                <c:v>1</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Lit>
          </c:val>
          <c:extLst>
            <c:ext xmlns:c16="http://schemas.microsoft.com/office/drawing/2014/chart" uri="{C3380CC4-5D6E-409C-BE32-E72D297353CC}">
              <c16:uniqueId val="{00000004-2BE8-4BF9-BC67-80373E435A42}"/>
            </c:ext>
          </c:extLst>
        </c:ser>
        <c:ser>
          <c:idx val="5"/>
          <c:order val="5"/>
          <c:tx>
            <c:v>LULUCF/REDD+</c:v>
          </c:tx>
          <c:spPr>
            <a:solidFill>
              <a:schemeClr val="accent6"/>
            </a:solidFill>
            <a:ln>
              <a:noFill/>
            </a:ln>
            <a:effectLst/>
          </c:spPr>
          <c:invertIfNegative val="0"/>
          <c:cat>
            <c:strLit>
              <c:ptCount val="17"/>
              <c:pt idx="0">
                <c:v>Indonesia</c:v>
              </c:pt>
              <c:pt idx="1">
                <c:v>Thailand</c:v>
              </c:pt>
              <c:pt idx="2">
                <c:v>Viet Nam</c:v>
              </c:pt>
              <c:pt idx="3">
                <c:v>Mongolia</c:v>
              </c:pt>
              <c:pt idx="4">
                <c:v>Philippines</c:v>
              </c:pt>
              <c:pt idx="5">
                <c:v>Myanmar</c:v>
              </c:pt>
              <c:pt idx="6">
                <c:v>Mexico</c:v>
              </c:pt>
              <c:pt idx="7">
                <c:v>Bangladesh</c:v>
              </c:pt>
              <c:pt idx="8">
                <c:v>Cambodia</c:v>
              </c:pt>
              <c:pt idx="9">
                <c:v>Lao PDR</c:v>
              </c:pt>
              <c:pt idx="10">
                <c:v>Palau</c:v>
              </c:pt>
              <c:pt idx="11">
                <c:v>Costa Rica</c:v>
              </c:pt>
              <c:pt idx="12">
                <c:v>Kenya</c:v>
              </c:pt>
              <c:pt idx="13">
                <c:v>Maldives</c:v>
              </c:pt>
              <c:pt idx="14">
                <c:v>Chile</c:v>
              </c:pt>
              <c:pt idx="15">
                <c:v>Saudi Arabia</c:v>
              </c:pt>
              <c:pt idx="16">
                <c:v>Ethiopia</c:v>
              </c:pt>
            </c:strLit>
          </c:cat>
          <c:val>
            <c:numLit>
              <c:formatCode>General</c:formatCode>
              <c:ptCount val="17"/>
              <c:pt idx="0">
                <c:v>1</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numLit>
          </c:val>
          <c:extLst>
            <c:ext xmlns:c16="http://schemas.microsoft.com/office/drawing/2014/chart" uri="{C3380CC4-5D6E-409C-BE32-E72D297353CC}">
              <c16:uniqueId val="{00000005-2BE8-4BF9-BC67-80373E435A42}"/>
            </c:ext>
          </c:extLst>
        </c:ser>
        <c:dLbls>
          <c:showLegendKey val="0"/>
          <c:showVal val="0"/>
          <c:showCatName val="0"/>
          <c:showSerName val="0"/>
          <c:showPercent val="0"/>
          <c:showBubbleSize val="0"/>
        </c:dLbls>
        <c:gapWidth val="55"/>
        <c:overlap val="100"/>
        <c:axId val="548204680"/>
        <c:axId val="548197464"/>
      </c:barChart>
      <c:catAx>
        <c:axId val="548204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48197464"/>
        <c:crosses val="autoZero"/>
        <c:auto val="1"/>
        <c:lblAlgn val="ctr"/>
        <c:lblOffset val="100"/>
        <c:noMultiLvlLbl val="0"/>
      </c:catAx>
      <c:valAx>
        <c:axId val="5481974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48204680"/>
        <c:crosses val="autoZero"/>
        <c:crossBetween val="between"/>
      </c:valAx>
      <c:spPr>
        <a:noFill/>
        <a:ln>
          <a:noFill/>
        </a:ln>
        <a:effectLst/>
      </c:spPr>
    </c:plotArea>
    <c:legend>
      <c:legendPos val="r"/>
      <c:layout>
        <c:manualLayout>
          <c:xMode val="edge"/>
          <c:yMode val="edge"/>
          <c:x val="0.80255394839623972"/>
          <c:y val="0.23174712552833801"/>
          <c:w val="0.18823195815205435"/>
          <c:h val="0.5966255522130509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7.5440498164473485E-2"/>
          <c:y val="7.6138943489043917E-2"/>
          <c:w val="0.90326455895002666"/>
          <c:h val="0.80517711926840341"/>
        </c:manualLayout>
      </c:layout>
      <c:barChart>
        <c:barDir val="col"/>
        <c:grouping val="clustered"/>
        <c:varyColors val="0"/>
        <c:ser>
          <c:idx val="0"/>
          <c:order val="0"/>
          <c:spPr>
            <a:solidFill>
              <a:schemeClr val="accent4"/>
            </a:solidFill>
            <a:ln w="19050">
              <a:solidFill>
                <a:schemeClr val="lt1"/>
              </a:solidFill>
            </a:ln>
            <a:effectLst/>
          </c:spPr>
          <c:invertIfNegative val="0"/>
          <c:dLbls>
            <c:dLbl>
              <c:idx val="0"/>
              <c:layout>
                <c:manualLayout>
                  <c:x val="0"/>
                  <c:y val="9.7974956746519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E4-4EB4-B066-AF2A82444081}"/>
                </c:ext>
              </c:extLst>
            </c:dLbl>
            <c:dLbl>
              <c:idx val="1"/>
              <c:layout>
                <c:manualLayout>
                  <c:x val="2.1800857237171413E-3"/>
                  <c:y val="0.10927975944804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E4-4EB4-B066-AF2A82444081}"/>
                </c:ext>
              </c:extLst>
            </c:dLbl>
            <c:dLbl>
              <c:idx val="2"/>
              <c:layout>
                <c:manualLayout>
                  <c:x val="2.1800857237172211E-3"/>
                  <c:y val="9.0438421612171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E4-4EB4-B066-AF2A82444081}"/>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1 to 2</c:v>
              </c:pt>
              <c:pt idx="1">
                <c:v>3 to 5</c:v>
              </c:pt>
              <c:pt idx="2">
                <c:v>More than 5</c:v>
              </c:pt>
            </c:strLit>
          </c:cat>
          <c:val>
            <c:numRef>
              <c:f>Methodologies_summary!$C$56:$C$58</c:f>
              <c:numCache>
                <c:formatCode>General</c:formatCode>
                <c:ptCount val="3"/>
                <c:pt idx="0">
                  <c:v>58</c:v>
                </c:pt>
                <c:pt idx="1">
                  <c:v>17</c:v>
                </c:pt>
                <c:pt idx="2">
                  <c:v>6</c:v>
                </c:pt>
              </c:numCache>
            </c:numRef>
          </c:val>
          <c:extLst>
            <c:ext xmlns:c16="http://schemas.microsoft.com/office/drawing/2014/chart" uri="{C3380CC4-5D6E-409C-BE32-E72D297353CC}">
              <c16:uniqueId val="{00000003-EBE4-4EB4-B066-AF2A82444081}"/>
            </c:ext>
          </c:extLst>
        </c:ser>
        <c:dLbls>
          <c:showLegendKey val="0"/>
          <c:showVal val="0"/>
          <c:showCatName val="0"/>
          <c:showSerName val="0"/>
          <c:showPercent val="0"/>
          <c:showBubbleSize val="0"/>
        </c:dLbls>
        <c:gapWidth val="150"/>
        <c:axId val="833442584"/>
        <c:axId val="833443240"/>
      </c:barChart>
      <c:catAx>
        <c:axId val="833442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Monitoring Parameters</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33443240"/>
        <c:crosses val="autoZero"/>
        <c:auto val="1"/>
        <c:lblAlgn val="ctr"/>
        <c:lblOffset val="100"/>
        <c:noMultiLvlLbl val="0"/>
      </c:catAx>
      <c:valAx>
        <c:axId val="833443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AM</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33442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55652686271359"/>
          <c:y val="0.1098476836449616"/>
          <c:w val="0.84824489795918379"/>
          <c:h val="0.76808901777344096"/>
        </c:manualLayout>
      </c:layout>
      <c:barChart>
        <c:barDir val="col"/>
        <c:grouping val="clustered"/>
        <c:varyColors val="0"/>
        <c:ser>
          <c:idx val="0"/>
          <c:order val="0"/>
          <c:spPr>
            <a:solidFill>
              <a:schemeClr val="accent4"/>
            </a:solidFill>
            <a:ln>
              <a:noFill/>
            </a:ln>
            <a:effectLst/>
          </c:spPr>
          <c:invertIfNegative val="0"/>
          <c:dLbls>
            <c:dLbl>
              <c:idx val="0"/>
              <c:layout>
                <c:manualLayout>
                  <c:x val="0"/>
                  <c:y val="9.0545967228776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0-4D65-8602-6C92D4C672F4}"/>
                </c:ext>
              </c:extLst>
            </c:dLbl>
            <c:dLbl>
              <c:idx val="1"/>
              <c:layout>
                <c:manualLayout>
                  <c:x val="0"/>
                  <c:y val="9.809146449784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0-4D65-8602-6C92D4C672F4}"/>
                </c:ext>
              </c:extLst>
            </c:dLbl>
            <c:dLbl>
              <c:idx val="2"/>
              <c:layout>
                <c:manualLayout>
                  <c:x val="-2.7210884353741495E-3"/>
                  <c:y val="9.4318715863308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0-4D65-8602-6C92D4C672F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30</c:v>
              </c:pt>
              <c:pt idx="1">
                <c:v>31 - 180</c:v>
              </c:pt>
              <c:pt idx="2">
                <c:v>&gt; 180</c:v>
              </c:pt>
            </c:strLit>
          </c:cat>
          <c:val>
            <c:numRef>
              <c:f>Methodologies_summary!$G$56:$G$58</c:f>
              <c:numCache>
                <c:formatCode>General</c:formatCode>
                <c:ptCount val="3"/>
                <c:pt idx="0">
                  <c:v>17</c:v>
                </c:pt>
                <c:pt idx="1">
                  <c:v>47</c:v>
                </c:pt>
                <c:pt idx="2">
                  <c:v>17</c:v>
                </c:pt>
              </c:numCache>
            </c:numRef>
          </c:val>
          <c:extLst>
            <c:ext xmlns:c16="http://schemas.microsoft.com/office/drawing/2014/chart" uri="{C3380CC4-5D6E-409C-BE32-E72D297353CC}">
              <c16:uniqueId val="{00000003-A420-4D65-8602-6C92D4C672F4}"/>
            </c:ext>
          </c:extLst>
        </c:ser>
        <c:dLbls>
          <c:showLegendKey val="0"/>
          <c:showVal val="0"/>
          <c:showCatName val="0"/>
          <c:showSerName val="0"/>
          <c:showPercent val="0"/>
          <c:showBubbleSize val="0"/>
        </c:dLbls>
        <c:gapWidth val="219"/>
        <c:overlap val="-27"/>
        <c:axId val="833444880"/>
        <c:axId val="833439632"/>
      </c:barChart>
      <c:catAx>
        <c:axId val="833444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200"/>
                  <a:t>days</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33439632"/>
        <c:crosses val="autoZero"/>
        <c:auto val="1"/>
        <c:lblAlgn val="ctr"/>
        <c:lblOffset val="100"/>
        <c:noMultiLvlLbl val="0"/>
      </c:catAx>
      <c:valAx>
        <c:axId val="83343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AM</a:t>
                </a:r>
                <a:endParaRPr lang="ja-JP" altLang="en-US" sz="12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33444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47621842370369"/>
          <c:y val="5.3289956343251725E-2"/>
          <c:w val="0.58214858595441998"/>
          <c:h val="0.92144136726510806"/>
        </c:manualLayout>
      </c:layout>
      <c:barChart>
        <c:barDir val="bar"/>
        <c:grouping val="stacked"/>
        <c:varyColors val="0"/>
        <c:ser>
          <c:idx val="0"/>
          <c:order val="0"/>
          <c:tx>
            <c:strRef>
              <c:f>Methodologies_summary!$C$5</c:f>
              <c:strCache>
                <c:ptCount val="1"/>
                <c:pt idx="0">
                  <c:v>Energy Efficiency</c:v>
                </c:pt>
              </c:strCache>
            </c:strRef>
          </c:tx>
          <c:spPr>
            <a:solidFill>
              <a:schemeClr val="accent2"/>
            </a:solidFill>
            <a:ln>
              <a:noFill/>
            </a:ln>
            <a:effectLst/>
          </c:spPr>
          <c:invertIfNegative val="0"/>
          <c:cat>
            <c:strRef>
              <c:f>Methodologies_summary!$B$6:$B$22</c:f>
              <c:strCache>
                <c:ptCount val="17"/>
                <c:pt idx="0">
                  <c:v>Indonesia</c:v>
                </c:pt>
                <c:pt idx="1">
                  <c:v>Viet Nam</c:v>
                </c:pt>
                <c:pt idx="2">
                  <c:v>Thailand</c:v>
                </c:pt>
                <c:pt idx="3">
                  <c:v>Cambodia</c:v>
                </c:pt>
                <c:pt idx="4">
                  <c:v>Myanmar</c:v>
                </c:pt>
                <c:pt idx="5">
                  <c:v>Bangladesh</c:v>
                </c:pt>
                <c:pt idx="6">
                  <c:v>Costa Rica</c:v>
                </c:pt>
                <c:pt idx="7">
                  <c:v>Ethiopia</c:v>
                </c:pt>
                <c:pt idx="8">
                  <c:v>Kenya</c:v>
                </c:pt>
                <c:pt idx="9">
                  <c:v>Lao PDR</c:v>
                </c:pt>
                <c:pt idx="10">
                  <c:v>Mongolia</c:v>
                </c:pt>
                <c:pt idx="11">
                  <c:v>Philippines</c:v>
                </c:pt>
                <c:pt idx="12">
                  <c:v>Chile</c:v>
                </c:pt>
                <c:pt idx="13">
                  <c:v>Maldives</c:v>
                </c:pt>
                <c:pt idx="14">
                  <c:v>Mexico</c:v>
                </c:pt>
                <c:pt idx="15">
                  <c:v>Palau</c:v>
                </c:pt>
                <c:pt idx="16">
                  <c:v>Saudi Arabia</c:v>
                </c:pt>
              </c:strCache>
            </c:strRef>
          </c:cat>
          <c:val>
            <c:numRef>
              <c:f>Methodologies_summary!$C$6:$C$22</c:f>
              <c:numCache>
                <c:formatCode>General</c:formatCode>
                <c:ptCount val="17"/>
                <c:pt idx="0">
                  <c:v>18</c:v>
                </c:pt>
                <c:pt idx="1">
                  <c:v>12</c:v>
                </c:pt>
                <c:pt idx="2">
                  <c:v>8</c:v>
                </c:pt>
                <c:pt idx="3">
                  <c:v>3</c:v>
                </c:pt>
                <c:pt idx="4">
                  <c:v>3</c:v>
                </c:pt>
                <c:pt idx="5">
                  <c:v>2</c:v>
                </c:pt>
                <c:pt idx="6">
                  <c:v>2</c:v>
                </c:pt>
                <c:pt idx="7">
                  <c:v>0</c:v>
                </c:pt>
                <c:pt idx="8">
                  <c:v>0</c:v>
                </c:pt>
                <c:pt idx="9">
                  <c:v>2</c:v>
                </c:pt>
                <c:pt idx="10">
                  <c:v>2</c:v>
                </c:pt>
                <c:pt idx="11">
                  <c:v>0</c:v>
                </c:pt>
                <c:pt idx="12">
                  <c:v>0</c:v>
                </c:pt>
                <c:pt idx="13">
                  <c:v>0</c:v>
                </c:pt>
                <c:pt idx="14">
                  <c:v>0</c:v>
                </c:pt>
                <c:pt idx="15">
                  <c:v>0</c:v>
                </c:pt>
                <c:pt idx="16">
                  <c:v>1</c:v>
                </c:pt>
              </c:numCache>
            </c:numRef>
          </c:val>
          <c:extLst>
            <c:ext xmlns:c16="http://schemas.microsoft.com/office/drawing/2014/chart" uri="{C3380CC4-5D6E-409C-BE32-E72D297353CC}">
              <c16:uniqueId val="{00000000-E180-4DCE-A824-0D5B8C40911C}"/>
            </c:ext>
          </c:extLst>
        </c:ser>
        <c:ser>
          <c:idx val="1"/>
          <c:order val="1"/>
          <c:tx>
            <c:strRef>
              <c:f>Methodologies_summary!$D$5</c:f>
              <c:strCache>
                <c:ptCount val="1"/>
                <c:pt idx="0">
                  <c:v>Renewable energy</c:v>
                </c:pt>
              </c:strCache>
            </c:strRef>
          </c:tx>
          <c:spPr>
            <a:solidFill>
              <a:schemeClr val="accent4"/>
            </a:solidFill>
            <a:ln>
              <a:noFill/>
            </a:ln>
            <a:effectLst/>
          </c:spPr>
          <c:invertIfNegative val="0"/>
          <c:cat>
            <c:strRef>
              <c:f>Methodologies_summary!$B$6:$B$22</c:f>
              <c:strCache>
                <c:ptCount val="17"/>
                <c:pt idx="0">
                  <c:v>Indonesia</c:v>
                </c:pt>
                <c:pt idx="1">
                  <c:v>Viet Nam</c:v>
                </c:pt>
                <c:pt idx="2">
                  <c:v>Thailand</c:v>
                </c:pt>
                <c:pt idx="3">
                  <c:v>Cambodia</c:v>
                </c:pt>
                <c:pt idx="4">
                  <c:v>Myanmar</c:v>
                </c:pt>
                <c:pt idx="5">
                  <c:v>Bangladesh</c:v>
                </c:pt>
                <c:pt idx="6">
                  <c:v>Costa Rica</c:v>
                </c:pt>
                <c:pt idx="7">
                  <c:v>Ethiopia</c:v>
                </c:pt>
                <c:pt idx="8">
                  <c:v>Kenya</c:v>
                </c:pt>
                <c:pt idx="9">
                  <c:v>Lao PDR</c:v>
                </c:pt>
                <c:pt idx="10">
                  <c:v>Mongolia</c:v>
                </c:pt>
                <c:pt idx="11">
                  <c:v>Philippines</c:v>
                </c:pt>
                <c:pt idx="12">
                  <c:v>Chile</c:v>
                </c:pt>
                <c:pt idx="13">
                  <c:v>Maldives</c:v>
                </c:pt>
                <c:pt idx="14">
                  <c:v>Mexico</c:v>
                </c:pt>
                <c:pt idx="15">
                  <c:v>Palau</c:v>
                </c:pt>
                <c:pt idx="16">
                  <c:v>Saudi Arabia</c:v>
                </c:pt>
              </c:strCache>
            </c:strRef>
          </c:cat>
          <c:val>
            <c:numRef>
              <c:f>Methodologies_summary!$D$6:$D$22</c:f>
              <c:numCache>
                <c:formatCode>General</c:formatCode>
                <c:ptCount val="17"/>
                <c:pt idx="0">
                  <c:v>4</c:v>
                </c:pt>
                <c:pt idx="1">
                  <c:v>1</c:v>
                </c:pt>
                <c:pt idx="2">
                  <c:v>1</c:v>
                </c:pt>
                <c:pt idx="3">
                  <c:v>1</c:v>
                </c:pt>
                <c:pt idx="4">
                  <c:v>0</c:v>
                </c:pt>
                <c:pt idx="5">
                  <c:v>1</c:v>
                </c:pt>
                <c:pt idx="6">
                  <c:v>1</c:v>
                </c:pt>
                <c:pt idx="7">
                  <c:v>2</c:v>
                </c:pt>
                <c:pt idx="8">
                  <c:v>3</c:v>
                </c:pt>
                <c:pt idx="9">
                  <c:v>1</c:v>
                </c:pt>
                <c:pt idx="10">
                  <c:v>1</c:v>
                </c:pt>
                <c:pt idx="11">
                  <c:v>2</c:v>
                </c:pt>
                <c:pt idx="12">
                  <c:v>1</c:v>
                </c:pt>
                <c:pt idx="13">
                  <c:v>1</c:v>
                </c:pt>
                <c:pt idx="14">
                  <c:v>1</c:v>
                </c:pt>
                <c:pt idx="15">
                  <c:v>1</c:v>
                </c:pt>
                <c:pt idx="16">
                  <c:v>0</c:v>
                </c:pt>
              </c:numCache>
            </c:numRef>
          </c:val>
          <c:extLst>
            <c:ext xmlns:c16="http://schemas.microsoft.com/office/drawing/2014/chart" uri="{C3380CC4-5D6E-409C-BE32-E72D297353CC}">
              <c16:uniqueId val="{00000001-E180-4DCE-A824-0D5B8C40911C}"/>
            </c:ext>
          </c:extLst>
        </c:ser>
        <c:ser>
          <c:idx val="2"/>
          <c:order val="2"/>
          <c:tx>
            <c:strRef>
              <c:f>Methodologies_summary!$E$5</c:f>
              <c:strCache>
                <c:ptCount val="1"/>
                <c:pt idx="0">
                  <c:v>Waste management &amp; biomass utilisation</c:v>
                </c:pt>
              </c:strCache>
            </c:strRef>
          </c:tx>
          <c:spPr>
            <a:solidFill>
              <a:schemeClr val="accent6"/>
            </a:solidFill>
            <a:ln>
              <a:noFill/>
            </a:ln>
            <a:effectLst/>
          </c:spPr>
          <c:invertIfNegative val="0"/>
          <c:cat>
            <c:strRef>
              <c:f>Methodologies_summary!$B$6:$B$22</c:f>
              <c:strCache>
                <c:ptCount val="17"/>
                <c:pt idx="0">
                  <c:v>Indonesia</c:v>
                </c:pt>
                <c:pt idx="1">
                  <c:v>Viet Nam</c:v>
                </c:pt>
                <c:pt idx="2">
                  <c:v>Thailand</c:v>
                </c:pt>
                <c:pt idx="3">
                  <c:v>Cambodia</c:v>
                </c:pt>
                <c:pt idx="4">
                  <c:v>Myanmar</c:v>
                </c:pt>
                <c:pt idx="5">
                  <c:v>Bangladesh</c:v>
                </c:pt>
                <c:pt idx="6">
                  <c:v>Costa Rica</c:v>
                </c:pt>
                <c:pt idx="7">
                  <c:v>Ethiopia</c:v>
                </c:pt>
                <c:pt idx="8">
                  <c:v>Kenya</c:v>
                </c:pt>
                <c:pt idx="9">
                  <c:v>Lao PDR</c:v>
                </c:pt>
                <c:pt idx="10">
                  <c:v>Mongolia</c:v>
                </c:pt>
                <c:pt idx="11">
                  <c:v>Philippines</c:v>
                </c:pt>
                <c:pt idx="12">
                  <c:v>Chile</c:v>
                </c:pt>
                <c:pt idx="13">
                  <c:v>Maldives</c:v>
                </c:pt>
                <c:pt idx="14">
                  <c:v>Mexico</c:v>
                </c:pt>
                <c:pt idx="15">
                  <c:v>Palau</c:v>
                </c:pt>
                <c:pt idx="16">
                  <c:v>Saudi Arabia</c:v>
                </c:pt>
              </c:strCache>
            </c:strRef>
          </c:cat>
          <c:val>
            <c:numRef>
              <c:f>Methodologies_summary!$E$6:$E$22</c:f>
              <c:numCache>
                <c:formatCode>General</c:formatCode>
                <c:ptCount val="17"/>
                <c:pt idx="0">
                  <c:v>0</c:v>
                </c:pt>
                <c:pt idx="1">
                  <c:v>1</c:v>
                </c:pt>
                <c:pt idx="2">
                  <c:v>0</c:v>
                </c:pt>
                <c:pt idx="3">
                  <c:v>0</c:v>
                </c:pt>
                <c:pt idx="4">
                  <c:v>2</c:v>
                </c:pt>
                <c:pt idx="5">
                  <c:v>0</c:v>
                </c:pt>
                <c:pt idx="6">
                  <c:v>0</c:v>
                </c:pt>
                <c:pt idx="7">
                  <c:v>1</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E180-4DCE-A824-0D5B8C40911C}"/>
            </c:ext>
          </c:extLst>
        </c:ser>
        <c:ser>
          <c:idx val="3"/>
          <c:order val="3"/>
          <c:tx>
            <c:strRef>
              <c:f>Methodologies_summary!$F$5</c:f>
              <c:strCache>
                <c:ptCount val="1"/>
                <c:pt idx="0">
                  <c:v>Transportation</c:v>
                </c:pt>
              </c:strCache>
            </c:strRef>
          </c:tx>
          <c:spPr>
            <a:solidFill>
              <a:schemeClr val="accent2">
                <a:lumMod val="60000"/>
              </a:schemeClr>
            </a:solidFill>
            <a:ln>
              <a:noFill/>
            </a:ln>
            <a:effectLst/>
          </c:spPr>
          <c:invertIfNegative val="0"/>
          <c:cat>
            <c:strRef>
              <c:f>Methodologies_summary!$B$6:$B$22</c:f>
              <c:strCache>
                <c:ptCount val="17"/>
                <c:pt idx="0">
                  <c:v>Indonesia</c:v>
                </c:pt>
                <c:pt idx="1">
                  <c:v>Viet Nam</c:v>
                </c:pt>
                <c:pt idx="2">
                  <c:v>Thailand</c:v>
                </c:pt>
                <c:pt idx="3">
                  <c:v>Cambodia</c:v>
                </c:pt>
                <c:pt idx="4">
                  <c:v>Myanmar</c:v>
                </c:pt>
                <c:pt idx="5">
                  <c:v>Bangladesh</c:v>
                </c:pt>
                <c:pt idx="6">
                  <c:v>Costa Rica</c:v>
                </c:pt>
                <c:pt idx="7">
                  <c:v>Ethiopia</c:v>
                </c:pt>
                <c:pt idx="8">
                  <c:v>Kenya</c:v>
                </c:pt>
                <c:pt idx="9">
                  <c:v>Lao PDR</c:v>
                </c:pt>
                <c:pt idx="10">
                  <c:v>Mongolia</c:v>
                </c:pt>
                <c:pt idx="11">
                  <c:v>Philippines</c:v>
                </c:pt>
                <c:pt idx="12">
                  <c:v>Chile</c:v>
                </c:pt>
                <c:pt idx="13">
                  <c:v>Maldives</c:v>
                </c:pt>
                <c:pt idx="14">
                  <c:v>Mexico</c:v>
                </c:pt>
                <c:pt idx="15">
                  <c:v>Palau</c:v>
                </c:pt>
                <c:pt idx="16">
                  <c:v>Saudi Arabia</c:v>
                </c:pt>
              </c:strCache>
            </c:strRef>
          </c:cat>
          <c:val>
            <c:numRef>
              <c:f>Methodologies_summary!$F$6:$F$22</c:f>
              <c:numCache>
                <c:formatCode>General</c:formatCode>
                <c:ptCount val="17"/>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E180-4DCE-A824-0D5B8C40911C}"/>
            </c:ext>
          </c:extLst>
        </c:ser>
        <c:dLbls>
          <c:showLegendKey val="0"/>
          <c:showVal val="0"/>
          <c:showCatName val="0"/>
          <c:showSerName val="0"/>
          <c:showPercent val="0"/>
          <c:showBubbleSize val="0"/>
        </c:dLbls>
        <c:gapWidth val="55"/>
        <c:overlap val="100"/>
        <c:axId val="770051360"/>
        <c:axId val="770049392"/>
      </c:barChart>
      <c:catAx>
        <c:axId val="770051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770049392"/>
        <c:crosses val="autoZero"/>
        <c:auto val="1"/>
        <c:lblAlgn val="ctr"/>
        <c:lblOffset val="100"/>
        <c:noMultiLvlLbl val="0"/>
      </c:catAx>
      <c:valAx>
        <c:axId val="7700493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770051360"/>
        <c:crosses val="autoZero"/>
        <c:crossBetween val="between"/>
      </c:valAx>
      <c:spPr>
        <a:noFill/>
        <a:ln>
          <a:noFill/>
        </a:ln>
        <a:effectLst/>
      </c:spPr>
    </c:plotArea>
    <c:legend>
      <c:legendPos val="r"/>
      <c:layout>
        <c:manualLayout>
          <c:xMode val="edge"/>
          <c:yMode val="edge"/>
          <c:x val="0.70990622752036203"/>
          <c:y val="0.25646928761505661"/>
          <c:w val="0.28029499714652462"/>
          <c:h val="0.4043639383972460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doughnutChart>
        <c:varyColors val="1"/>
        <c:ser>
          <c:idx val="0"/>
          <c:order val="0"/>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11FD-4217-9830-B17B4C843F8C}"/>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11FD-4217-9830-B17B4C843F8C}"/>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11FD-4217-9830-B17B4C843F8C}"/>
              </c:ext>
            </c:extLst>
          </c:dPt>
          <c:dPt>
            <c:idx val="3"/>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7-11FD-4217-9830-B17B4C843F8C}"/>
              </c:ext>
            </c:extLst>
          </c:dPt>
          <c:dLbls>
            <c:dLbl>
              <c:idx val="0"/>
              <c:layout>
                <c:manualLayout>
                  <c:x val="5.3883798771138268E-2"/>
                  <c:y val="-9.173654699823397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1045176920421607"/>
                      <c:h val="0.19557506843574751"/>
                    </c:manualLayout>
                  </c15:layout>
                </c:ext>
                <c:ext xmlns:c16="http://schemas.microsoft.com/office/drawing/2014/chart" uri="{C3380CC4-5D6E-409C-BE32-E72D297353CC}">
                  <c16:uniqueId val="{00000001-11FD-4217-9830-B17B4C843F8C}"/>
                </c:ext>
              </c:extLst>
            </c:dLbl>
            <c:dLbl>
              <c:idx val="1"/>
              <c:layout>
                <c:manualLayout>
                  <c:x val="-2.316026360136306E-2"/>
                  <c:y val="0.149604991572501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4891093716935286"/>
                      <c:h val="0.27695292407698474"/>
                    </c:manualLayout>
                  </c15:layout>
                </c:ext>
                <c:ext xmlns:c16="http://schemas.microsoft.com/office/drawing/2014/chart" uri="{C3380CC4-5D6E-409C-BE32-E72D297353CC}">
                  <c16:uniqueId val="{00000003-11FD-4217-9830-B17B4C843F8C}"/>
                </c:ext>
              </c:extLst>
            </c:dLbl>
            <c:dLbl>
              <c:idx val="2"/>
              <c:delete val="1"/>
              <c:extLst>
                <c:ext xmlns:c15="http://schemas.microsoft.com/office/drawing/2012/chart" uri="{CE6537A1-D6FC-4f65-9D91-7224C49458BB}"/>
                <c:ext xmlns:c16="http://schemas.microsoft.com/office/drawing/2014/chart" uri="{C3380CC4-5D6E-409C-BE32-E72D297353CC}">
                  <c16:uniqueId val="{00000005-11FD-4217-9830-B17B4C843F8C}"/>
                </c:ext>
              </c:extLst>
            </c:dLbl>
            <c:dLbl>
              <c:idx val="3"/>
              <c:layout>
                <c:manualLayout>
                  <c:x val="0.32777777777777778"/>
                  <c:y val="-5.092592592592592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FD-4217-9830-B17B4C843F8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Energy efficiency</c:v>
              </c:pt>
              <c:pt idx="1">
                <c:v>Renewable energy</c:v>
              </c:pt>
              <c:pt idx="2">
                <c:v>Waste management &amp; biomass utilisation</c:v>
              </c:pt>
              <c:pt idx="3">
                <c:v>Transportation</c:v>
              </c:pt>
            </c:strLit>
          </c:cat>
          <c:val>
            <c:numRef>
              <c:f>'Project Data_summary'!$C$23:$F$23</c:f>
              <c:numCache>
                <c:formatCode>General</c:formatCode>
                <c:ptCount val="4"/>
                <c:pt idx="0">
                  <c:v>44</c:v>
                </c:pt>
                <c:pt idx="1">
                  <c:v>18</c:v>
                </c:pt>
                <c:pt idx="2">
                  <c:v>1</c:v>
                </c:pt>
                <c:pt idx="3">
                  <c:v>1</c:v>
                </c:pt>
              </c:numCache>
            </c:numRef>
          </c:val>
          <c:extLst>
            <c:ext xmlns:c16="http://schemas.microsoft.com/office/drawing/2014/chart" uri="{C3380CC4-5D6E-409C-BE32-E72D297353CC}">
              <c16:uniqueId val="{00000008-11FD-4217-9830-B17B4C843F8C}"/>
            </c:ext>
          </c:extLst>
        </c:ser>
        <c:dLbls>
          <c:showLegendKey val="0"/>
          <c:showVal val="1"/>
          <c:showCatName val="1"/>
          <c:showSerName val="0"/>
          <c:showPercent val="0"/>
          <c:showBubbleSize val="0"/>
          <c:showLeaderLines val="1"/>
        </c:dLbls>
        <c:firstSliceAng val="0"/>
        <c:holeSize val="5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2"/>
            </a:solidFill>
            <a:ln>
              <a:noFill/>
            </a:ln>
            <a:effectLst/>
          </c:spPr>
          <c:invertIfNegative val="0"/>
          <c:dLbls>
            <c:dLbl>
              <c:idx val="0"/>
              <c:layout>
                <c:manualLayout>
                  <c:x val="-4.3613708234937773E-3"/>
                  <c:y val="0.103580307507678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65-41E9-BA50-2E05C5C1572F}"/>
                </c:ext>
              </c:extLst>
            </c:dLbl>
            <c:dLbl>
              <c:idx val="1"/>
              <c:layout>
                <c:manualLayout>
                  <c:x val="9.0472629600098339E-4"/>
                  <c:y val="0.141699436687660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65-41E9-BA50-2E05C5C1572F}"/>
                </c:ext>
              </c:extLst>
            </c:dLbl>
            <c:dLbl>
              <c:idx val="2"/>
              <c:layout>
                <c:manualLayout>
                  <c:x val="2.1806854117468887E-3"/>
                  <c:y val="9.988101081097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65-41E9-BA50-2E05C5C1572F}"/>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30</c:v>
              </c:pt>
              <c:pt idx="1">
                <c:v>31 - 180</c:v>
              </c:pt>
              <c:pt idx="2">
                <c:v>&gt; 180</c:v>
              </c:pt>
            </c:strLit>
          </c:cat>
          <c:val>
            <c:numLit>
              <c:formatCode>General</c:formatCode>
              <c:ptCount val="3"/>
              <c:pt idx="0">
                <c:v>14</c:v>
              </c:pt>
              <c:pt idx="1">
                <c:v>36</c:v>
              </c:pt>
              <c:pt idx="2">
                <c:v>9</c:v>
              </c:pt>
            </c:numLit>
          </c:val>
          <c:extLst>
            <c:ext xmlns:c16="http://schemas.microsoft.com/office/drawing/2014/chart" uri="{C3380CC4-5D6E-409C-BE32-E72D297353CC}">
              <c16:uniqueId val="{00000003-3B65-41E9-BA50-2E05C5C1572F}"/>
            </c:ext>
          </c:extLst>
        </c:ser>
        <c:dLbls>
          <c:showLegendKey val="0"/>
          <c:showVal val="0"/>
          <c:showCatName val="0"/>
          <c:showSerName val="0"/>
          <c:showPercent val="0"/>
          <c:showBubbleSize val="0"/>
        </c:dLbls>
        <c:gapWidth val="150"/>
        <c:axId val="954123128"/>
        <c:axId val="954120504"/>
      </c:barChart>
      <c:catAx>
        <c:axId val="954123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200"/>
                  <a:t>calendar</a:t>
                </a:r>
                <a:r>
                  <a:rPr lang="en-US" altLang="ja-JP" sz="1200" baseline="0"/>
                  <a:t> days</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954120504"/>
        <c:crosses val="autoZero"/>
        <c:auto val="1"/>
        <c:lblAlgn val="ctr"/>
        <c:lblOffset val="100"/>
        <c:noMultiLvlLbl val="0"/>
      </c:catAx>
      <c:valAx>
        <c:axId val="954120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projects</a:t>
                </a:r>
                <a:endParaRPr lang="ja-JP" altLang="en-US" sz="12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9541231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areaChart>
        <c:grouping val="stacked"/>
        <c:varyColors val="0"/>
        <c:ser>
          <c:idx val="0"/>
          <c:order val="0"/>
          <c:tx>
            <c:strRef>
              <c:f>'Project Data_summary'!$B$49</c:f>
              <c:strCache>
                <c:ptCount val="1"/>
                <c:pt idx="0">
                  <c:v>Energy efficiency</c:v>
                </c:pt>
              </c:strCache>
            </c:strRef>
          </c:tx>
          <c:spPr>
            <a:solidFill>
              <a:schemeClr val="accent2">
                <a:shade val="53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Data_summary'!$C$49:$T$49</c:f>
              <c:numCache>
                <c:formatCode>#,##0_ </c:formatCode>
                <c:ptCount val="18"/>
                <c:pt idx="0">
                  <c:v>0</c:v>
                </c:pt>
                <c:pt idx="1">
                  <c:v>127</c:v>
                </c:pt>
                <c:pt idx="2">
                  <c:v>1239</c:v>
                </c:pt>
                <c:pt idx="3">
                  <c:v>3122</c:v>
                </c:pt>
                <c:pt idx="4">
                  <c:v>32181</c:v>
                </c:pt>
                <c:pt idx="5">
                  <c:v>212864</c:v>
                </c:pt>
                <c:pt idx="6">
                  <c:v>272485</c:v>
                </c:pt>
                <c:pt idx="7">
                  <c:v>273506</c:v>
                </c:pt>
                <c:pt idx="8">
                  <c:v>63008</c:v>
                </c:pt>
                <c:pt idx="9">
                  <c:v>59892</c:v>
                </c:pt>
                <c:pt idx="10">
                  <c:v>59318</c:v>
                </c:pt>
                <c:pt idx="11">
                  <c:v>59335</c:v>
                </c:pt>
                <c:pt idx="12">
                  <c:v>55772</c:v>
                </c:pt>
                <c:pt idx="13">
                  <c:v>51679</c:v>
                </c:pt>
                <c:pt idx="14">
                  <c:v>31108</c:v>
                </c:pt>
                <c:pt idx="15">
                  <c:v>30866</c:v>
                </c:pt>
                <c:pt idx="16">
                  <c:v>30431</c:v>
                </c:pt>
                <c:pt idx="17">
                  <c:v>30525</c:v>
                </c:pt>
              </c:numCache>
            </c:numRef>
          </c:val>
          <c:extLst>
            <c:ext xmlns:c16="http://schemas.microsoft.com/office/drawing/2014/chart" uri="{C3380CC4-5D6E-409C-BE32-E72D297353CC}">
              <c16:uniqueId val="{00000000-0E05-4394-B060-567BFE2A06AE}"/>
            </c:ext>
          </c:extLst>
        </c:ser>
        <c:ser>
          <c:idx val="1"/>
          <c:order val="1"/>
          <c:tx>
            <c:strRef>
              <c:f>'Project Data_summary'!$B$50</c:f>
              <c:strCache>
                <c:ptCount val="1"/>
                <c:pt idx="0">
                  <c:v>Renewable energy</c:v>
                </c:pt>
              </c:strCache>
            </c:strRef>
          </c:tx>
          <c:spPr>
            <a:solidFill>
              <a:schemeClr val="accent2">
                <a:shade val="76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Data_summary'!$C$50:$T$50</c:f>
              <c:numCache>
                <c:formatCode>#,##0_ </c:formatCode>
                <c:ptCount val="18"/>
                <c:pt idx="0">
                  <c:v>0</c:v>
                </c:pt>
                <c:pt idx="1">
                  <c:v>36</c:v>
                </c:pt>
                <c:pt idx="2">
                  <c:v>259</c:v>
                </c:pt>
                <c:pt idx="3">
                  <c:v>1158</c:v>
                </c:pt>
                <c:pt idx="4">
                  <c:v>15180</c:v>
                </c:pt>
                <c:pt idx="5">
                  <c:v>35822</c:v>
                </c:pt>
                <c:pt idx="6">
                  <c:v>44250</c:v>
                </c:pt>
                <c:pt idx="7">
                  <c:v>44439</c:v>
                </c:pt>
                <c:pt idx="8">
                  <c:v>42204</c:v>
                </c:pt>
                <c:pt idx="9">
                  <c:v>42201</c:v>
                </c:pt>
                <c:pt idx="10">
                  <c:v>42198</c:v>
                </c:pt>
                <c:pt idx="11">
                  <c:v>42195</c:v>
                </c:pt>
                <c:pt idx="12">
                  <c:v>42068</c:v>
                </c:pt>
                <c:pt idx="13">
                  <c:v>41964</c:v>
                </c:pt>
                <c:pt idx="14">
                  <c:v>41781</c:v>
                </c:pt>
                <c:pt idx="15">
                  <c:v>40404</c:v>
                </c:pt>
                <c:pt idx="16">
                  <c:v>40306</c:v>
                </c:pt>
                <c:pt idx="17">
                  <c:v>40306</c:v>
                </c:pt>
              </c:numCache>
            </c:numRef>
          </c:val>
          <c:extLst>
            <c:ext xmlns:c16="http://schemas.microsoft.com/office/drawing/2014/chart" uri="{C3380CC4-5D6E-409C-BE32-E72D297353CC}">
              <c16:uniqueId val="{00000001-0E05-4394-B060-567BFE2A06AE}"/>
            </c:ext>
          </c:extLst>
        </c:ser>
        <c:ser>
          <c:idx val="2"/>
          <c:order val="2"/>
          <c:tx>
            <c:strRef>
              <c:f>'Project Data_summary'!$B$51</c:f>
              <c:strCache>
                <c:ptCount val="1"/>
                <c:pt idx="0">
                  <c:v>Waste management &amp; biomass utilisation</c:v>
                </c:pt>
              </c:strCache>
            </c:strRef>
          </c:tx>
          <c:spPr>
            <a:solidFill>
              <a:schemeClr val="accent2"/>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Data_summary'!$C$51:$T$51</c:f>
              <c:numCache>
                <c:formatCode>#,##0_ </c:formatCode>
                <c:ptCount val="18"/>
                <c:pt idx="0">
                  <c:v>0</c:v>
                </c:pt>
                <c:pt idx="1">
                  <c:v>0</c:v>
                </c:pt>
                <c:pt idx="2">
                  <c:v>0</c:v>
                </c:pt>
                <c:pt idx="3">
                  <c:v>0</c:v>
                </c:pt>
                <c:pt idx="4">
                  <c:v>-1933</c:v>
                </c:pt>
                <c:pt idx="5">
                  <c:v>-1853</c:v>
                </c:pt>
                <c:pt idx="6">
                  <c:v>262</c:v>
                </c:pt>
                <c:pt idx="7">
                  <c:v>1833</c:v>
                </c:pt>
                <c:pt idx="8">
                  <c:v>3030</c:v>
                </c:pt>
                <c:pt idx="9">
                  <c:v>3970</c:v>
                </c:pt>
                <c:pt idx="10">
                  <c:v>4728</c:v>
                </c:pt>
                <c:pt idx="11">
                  <c:v>5359</c:v>
                </c:pt>
                <c:pt idx="12">
                  <c:v>5897</c:v>
                </c:pt>
                <c:pt idx="13">
                  <c:v>6367</c:v>
                </c:pt>
                <c:pt idx="14">
                  <c:v>6785</c:v>
                </c:pt>
                <c:pt idx="15">
                  <c:v>7163</c:v>
                </c:pt>
                <c:pt idx="16">
                  <c:v>7509</c:v>
                </c:pt>
                <c:pt idx="17">
                  <c:v>7829</c:v>
                </c:pt>
              </c:numCache>
            </c:numRef>
          </c:val>
          <c:extLst>
            <c:ext xmlns:c16="http://schemas.microsoft.com/office/drawing/2014/chart" uri="{C3380CC4-5D6E-409C-BE32-E72D297353CC}">
              <c16:uniqueId val="{00000002-0E05-4394-B060-567BFE2A06AE}"/>
            </c:ext>
          </c:extLst>
        </c:ser>
        <c:ser>
          <c:idx val="4"/>
          <c:order val="3"/>
          <c:tx>
            <c:strRef>
              <c:f>'Project Data_summary'!$B$52</c:f>
              <c:strCache>
                <c:ptCount val="1"/>
                <c:pt idx="0">
                  <c:v>Transportation</c:v>
                </c:pt>
              </c:strCache>
            </c:strRef>
          </c:tx>
          <c:spPr>
            <a:solidFill>
              <a:schemeClr val="accent2">
                <a:tint val="54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Data_summary'!$C$52:$T$52</c:f>
              <c:numCache>
                <c:formatCode>#,##0_ </c:formatCode>
                <c:ptCount val="18"/>
                <c:pt idx="0">
                  <c:v>0</c:v>
                </c:pt>
                <c:pt idx="1">
                  <c:v>0</c:v>
                </c:pt>
                <c:pt idx="2">
                  <c:v>134</c:v>
                </c:pt>
                <c:pt idx="3">
                  <c:v>324</c:v>
                </c:pt>
                <c:pt idx="4">
                  <c:v>324</c:v>
                </c:pt>
                <c:pt idx="5">
                  <c:v>324</c:v>
                </c:pt>
                <c:pt idx="6">
                  <c:v>324</c:v>
                </c:pt>
                <c:pt idx="7">
                  <c:v>324</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0E05-4394-B060-567BFE2A06AE}"/>
            </c:ext>
          </c:extLst>
        </c:ser>
        <c:dLbls>
          <c:showLegendKey val="0"/>
          <c:showVal val="0"/>
          <c:showCatName val="0"/>
          <c:showSerName val="0"/>
          <c:showPercent val="0"/>
          <c:showBubbleSize val="0"/>
        </c:dLbls>
        <c:axId val="504195400"/>
        <c:axId val="504195072"/>
      </c:areaChart>
      <c:catAx>
        <c:axId val="504195400"/>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Year</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04195072"/>
        <c:crosses val="autoZero"/>
        <c:auto val="1"/>
        <c:lblAlgn val="ctr"/>
        <c:lblOffset val="100"/>
        <c:noMultiLvlLbl val="0"/>
      </c:catAx>
      <c:valAx>
        <c:axId val="504195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Emission</a:t>
                </a:r>
                <a:r>
                  <a:rPr lang="en-US" altLang="ja-JP" sz="1200" baseline="0"/>
                  <a:t> Reductions (tCO2)</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04195400"/>
        <c:crosses val="autoZero"/>
        <c:crossBetween val="midCat"/>
        <c:majorUnit val="100000"/>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"Partner Countries"</c:v>
          </c:tx>
          <c:spPr>
            <a:solidFill>
              <a:schemeClr val="accent2"/>
            </a:solidFill>
            <a:ln>
              <a:noFill/>
            </a:ln>
            <a:effectLst/>
          </c:spPr>
          <c:invertIfNegative val="0"/>
          <c:cat>
            <c:numRef>
              <c:f>'Project Data_summary'!$F$88:$J$88</c:f>
              <c:numCache>
                <c:formatCode>General</c:formatCode>
                <c:ptCount val="5"/>
                <c:pt idx="0">
                  <c:v>2016</c:v>
                </c:pt>
                <c:pt idx="1">
                  <c:v>2017</c:v>
                </c:pt>
                <c:pt idx="2">
                  <c:v>2018</c:v>
                </c:pt>
                <c:pt idx="3">
                  <c:v>2019</c:v>
                </c:pt>
                <c:pt idx="4">
                  <c:v>2020</c:v>
                </c:pt>
              </c:numCache>
            </c:numRef>
          </c:cat>
          <c:val>
            <c:numRef>
              <c:f>'Project Data_summary'!$F$90:$J$90</c:f>
              <c:numCache>
                <c:formatCode>#,##0_ </c:formatCode>
                <c:ptCount val="5"/>
                <c:pt idx="0">
                  <c:v>115</c:v>
                </c:pt>
                <c:pt idx="1">
                  <c:v>1789</c:v>
                </c:pt>
                <c:pt idx="2">
                  <c:v>2831</c:v>
                </c:pt>
                <c:pt idx="3">
                  <c:v>1441</c:v>
                </c:pt>
                <c:pt idx="4">
                  <c:v>19355</c:v>
                </c:pt>
              </c:numCache>
            </c:numRef>
          </c:val>
          <c:extLst>
            <c:ext xmlns:c16="http://schemas.microsoft.com/office/drawing/2014/chart" uri="{C3380CC4-5D6E-409C-BE32-E72D297353CC}">
              <c16:uniqueId val="{00000000-B42E-47BB-BC92-F09C4334B3BB}"/>
            </c:ext>
          </c:extLst>
        </c:ser>
        <c:ser>
          <c:idx val="1"/>
          <c:order val="1"/>
          <c:tx>
            <c:v>"Japan"</c:v>
          </c:tx>
          <c:spPr>
            <a:solidFill>
              <a:schemeClr val="accent4"/>
            </a:solidFill>
            <a:ln>
              <a:noFill/>
            </a:ln>
            <a:effectLst/>
          </c:spPr>
          <c:invertIfNegative val="0"/>
          <c:cat>
            <c:numRef>
              <c:f>'Project Data_summary'!$F$88:$J$88</c:f>
              <c:numCache>
                <c:formatCode>General</c:formatCode>
                <c:ptCount val="5"/>
                <c:pt idx="0">
                  <c:v>2016</c:v>
                </c:pt>
                <c:pt idx="1">
                  <c:v>2017</c:v>
                </c:pt>
                <c:pt idx="2">
                  <c:v>2018</c:v>
                </c:pt>
                <c:pt idx="3">
                  <c:v>2019</c:v>
                </c:pt>
                <c:pt idx="4">
                  <c:v>2020</c:v>
                </c:pt>
              </c:numCache>
            </c:numRef>
          </c:cat>
          <c:val>
            <c:numRef>
              <c:f>'Project Data_summary'!$F$89:$J$89</c:f>
              <c:numCache>
                <c:formatCode>#,##0_ </c:formatCode>
                <c:ptCount val="5"/>
                <c:pt idx="0">
                  <c:v>378</c:v>
                </c:pt>
                <c:pt idx="1">
                  <c:v>7464</c:v>
                </c:pt>
                <c:pt idx="2">
                  <c:v>9237</c:v>
                </c:pt>
                <c:pt idx="3">
                  <c:v>3031</c:v>
                </c:pt>
                <c:pt idx="4">
                  <c:v>39320</c:v>
                </c:pt>
              </c:numCache>
            </c:numRef>
          </c:val>
          <c:extLst>
            <c:ext xmlns:c16="http://schemas.microsoft.com/office/drawing/2014/chart" uri="{C3380CC4-5D6E-409C-BE32-E72D297353CC}">
              <c16:uniqueId val="{00000001-B42E-47BB-BC92-F09C4334B3BB}"/>
            </c:ext>
          </c:extLst>
        </c:ser>
        <c:dLbls>
          <c:showLegendKey val="0"/>
          <c:showVal val="0"/>
          <c:showCatName val="0"/>
          <c:showSerName val="0"/>
          <c:showPercent val="0"/>
          <c:showBubbleSize val="0"/>
        </c:dLbls>
        <c:gapWidth val="150"/>
        <c:overlap val="100"/>
        <c:axId val="681482344"/>
        <c:axId val="681477424"/>
      </c:barChart>
      <c:catAx>
        <c:axId val="681482344"/>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Year</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681477424"/>
        <c:crosses val="autoZero"/>
        <c:auto val="1"/>
        <c:lblAlgn val="ctr"/>
        <c:lblOffset val="100"/>
        <c:noMultiLvlLbl val="0"/>
      </c:catAx>
      <c:valAx>
        <c:axId val="681477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Issued</a:t>
                </a:r>
                <a:r>
                  <a:rPr lang="en-US" altLang="ja-JP" sz="1200" baseline="0"/>
                  <a:t> Credits</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681482344"/>
        <c:crosses val="autoZero"/>
        <c:crossBetween val="between"/>
        <c:majorUnit val="5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37096055629198"/>
          <c:y val="5.9496179330642232E-2"/>
          <c:w val="0.61270257526619387"/>
          <c:h val="0.91229231881783912"/>
        </c:manualLayout>
      </c:layout>
      <c:barChart>
        <c:barDir val="bar"/>
        <c:grouping val="stacked"/>
        <c:varyColors val="0"/>
        <c:ser>
          <c:idx val="0"/>
          <c:order val="0"/>
          <c:tx>
            <c:strRef>
              <c:f>'Project Data_summary'!$C$5</c:f>
              <c:strCache>
                <c:ptCount val="1"/>
                <c:pt idx="0">
                  <c:v>Energy efficiency</c:v>
                </c:pt>
              </c:strCache>
            </c:strRef>
          </c:tx>
          <c:spPr>
            <a:solidFill>
              <a:schemeClr val="accent2"/>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Kenya</c:v>
                </c:pt>
                <c:pt idx="7">
                  <c:v>Cambodia</c:v>
                </c:pt>
                <c:pt idx="8">
                  <c:v>Saudi Arabia</c:v>
                </c:pt>
                <c:pt idx="9">
                  <c:v>Maldives</c:v>
                </c:pt>
                <c:pt idx="10">
                  <c:v>Lao PDR</c:v>
                </c:pt>
                <c:pt idx="11">
                  <c:v>Chile</c:v>
                </c:pt>
                <c:pt idx="12">
                  <c:v>Myanmar</c:v>
                </c:pt>
                <c:pt idx="13">
                  <c:v>Costa Rica</c:v>
                </c:pt>
                <c:pt idx="14">
                  <c:v>Philippines</c:v>
                </c:pt>
                <c:pt idx="15">
                  <c:v>Mexico</c:v>
                </c:pt>
                <c:pt idx="16">
                  <c:v>Ethiopia</c:v>
                </c:pt>
              </c:strCache>
            </c:strRef>
          </c:cat>
          <c:val>
            <c:numRef>
              <c:f>'Project Data_summary'!$C$6:$C$22</c:f>
              <c:numCache>
                <c:formatCode>General</c:formatCode>
                <c:ptCount val="17"/>
                <c:pt idx="0">
                  <c:v>20</c:v>
                </c:pt>
                <c:pt idx="1">
                  <c:v>12</c:v>
                </c:pt>
                <c:pt idx="2">
                  <c:v>4</c:v>
                </c:pt>
                <c:pt idx="3">
                  <c:v>3</c:v>
                </c:pt>
                <c:pt idx="4">
                  <c:v>0</c:v>
                </c:pt>
                <c:pt idx="5">
                  <c:v>2</c:v>
                </c:pt>
                <c:pt idx="6">
                  <c:v>0</c:v>
                </c:pt>
                <c:pt idx="7">
                  <c:v>1</c:v>
                </c:pt>
                <c:pt idx="8">
                  <c:v>1</c:v>
                </c:pt>
                <c:pt idx="9">
                  <c:v>0</c:v>
                </c:pt>
                <c:pt idx="10">
                  <c:v>1</c:v>
                </c:pt>
                <c:pt idx="11">
                  <c:v>0</c:v>
                </c:pt>
                <c:pt idx="12">
                  <c:v>0</c:v>
                </c:pt>
                <c:pt idx="13">
                  <c:v>0</c:v>
                </c:pt>
                <c:pt idx="14">
                  <c:v>0</c:v>
                </c:pt>
                <c:pt idx="15">
                  <c:v>0</c:v>
                </c:pt>
                <c:pt idx="16">
                  <c:v>0</c:v>
                </c:pt>
              </c:numCache>
            </c:numRef>
          </c:val>
          <c:extLst>
            <c:ext xmlns:c16="http://schemas.microsoft.com/office/drawing/2014/chart" uri="{C3380CC4-5D6E-409C-BE32-E72D297353CC}">
              <c16:uniqueId val="{00000000-5363-419D-BB80-9B68ADDB6A6E}"/>
            </c:ext>
          </c:extLst>
        </c:ser>
        <c:ser>
          <c:idx val="1"/>
          <c:order val="1"/>
          <c:tx>
            <c:strRef>
              <c:f>'Project Data_summary'!$D$5</c:f>
              <c:strCache>
                <c:ptCount val="1"/>
                <c:pt idx="0">
                  <c:v>Renewable energy</c:v>
                </c:pt>
              </c:strCache>
            </c:strRef>
          </c:tx>
          <c:spPr>
            <a:solidFill>
              <a:schemeClr val="accent4"/>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Kenya</c:v>
                </c:pt>
                <c:pt idx="7">
                  <c:v>Cambodia</c:v>
                </c:pt>
                <c:pt idx="8">
                  <c:v>Saudi Arabia</c:v>
                </c:pt>
                <c:pt idx="9">
                  <c:v>Maldives</c:v>
                </c:pt>
                <c:pt idx="10">
                  <c:v>Lao PDR</c:v>
                </c:pt>
                <c:pt idx="11">
                  <c:v>Chile</c:v>
                </c:pt>
                <c:pt idx="12">
                  <c:v>Myanmar</c:v>
                </c:pt>
                <c:pt idx="13">
                  <c:v>Costa Rica</c:v>
                </c:pt>
                <c:pt idx="14">
                  <c:v>Philippines</c:v>
                </c:pt>
                <c:pt idx="15">
                  <c:v>Mexico</c:v>
                </c:pt>
                <c:pt idx="16">
                  <c:v>Ethiopia</c:v>
                </c:pt>
              </c:strCache>
            </c:strRef>
          </c:cat>
          <c:val>
            <c:numRef>
              <c:f>'Project Data_summary'!$D$6:$D$22</c:f>
              <c:numCache>
                <c:formatCode>General</c:formatCode>
                <c:ptCount val="17"/>
                <c:pt idx="0">
                  <c:v>2</c:v>
                </c:pt>
                <c:pt idx="1">
                  <c:v>1</c:v>
                </c:pt>
                <c:pt idx="2">
                  <c:v>3</c:v>
                </c:pt>
                <c:pt idx="3">
                  <c:v>2</c:v>
                </c:pt>
                <c:pt idx="4">
                  <c:v>3</c:v>
                </c:pt>
                <c:pt idx="5">
                  <c:v>1</c:v>
                </c:pt>
                <c:pt idx="6">
                  <c:v>2</c:v>
                </c:pt>
                <c:pt idx="7">
                  <c:v>1</c:v>
                </c:pt>
                <c:pt idx="8">
                  <c:v>0</c:v>
                </c:pt>
                <c:pt idx="9">
                  <c:v>1</c:v>
                </c:pt>
                <c:pt idx="10">
                  <c:v>0</c:v>
                </c:pt>
                <c:pt idx="11">
                  <c:v>1</c:v>
                </c:pt>
                <c:pt idx="12">
                  <c:v>0</c:v>
                </c:pt>
                <c:pt idx="13">
                  <c:v>1</c:v>
                </c:pt>
                <c:pt idx="14">
                  <c:v>0</c:v>
                </c:pt>
                <c:pt idx="15">
                  <c:v>0</c:v>
                </c:pt>
                <c:pt idx="16">
                  <c:v>0</c:v>
                </c:pt>
              </c:numCache>
            </c:numRef>
          </c:val>
          <c:extLst>
            <c:ext xmlns:c16="http://schemas.microsoft.com/office/drawing/2014/chart" uri="{C3380CC4-5D6E-409C-BE32-E72D297353CC}">
              <c16:uniqueId val="{00000001-5363-419D-BB80-9B68ADDB6A6E}"/>
            </c:ext>
          </c:extLst>
        </c:ser>
        <c:ser>
          <c:idx val="2"/>
          <c:order val="2"/>
          <c:tx>
            <c:strRef>
              <c:f>'Project Data_summary'!$E$5</c:f>
              <c:strCache>
                <c:ptCount val="1"/>
                <c:pt idx="0">
                  <c:v>Waste management &amp; biomass utilisation</c:v>
                </c:pt>
              </c:strCache>
            </c:strRef>
          </c:tx>
          <c:spPr>
            <a:solidFill>
              <a:schemeClr val="accent6"/>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Kenya</c:v>
                </c:pt>
                <c:pt idx="7">
                  <c:v>Cambodia</c:v>
                </c:pt>
                <c:pt idx="8">
                  <c:v>Saudi Arabia</c:v>
                </c:pt>
                <c:pt idx="9">
                  <c:v>Maldives</c:v>
                </c:pt>
                <c:pt idx="10">
                  <c:v>Lao PDR</c:v>
                </c:pt>
                <c:pt idx="11">
                  <c:v>Chile</c:v>
                </c:pt>
                <c:pt idx="12">
                  <c:v>Myanmar</c:v>
                </c:pt>
                <c:pt idx="13">
                  <c:v>Costa Rica</c:v>
                </c:pt>
                <c:pt idx="14">
                  <c:v>Philippines</c:v>
                </c:pt>
                <c:pt idx="15">
                  <c:v>Mexico</c:v>
                </c:pt>
                <c:pt idx="16">
                  <c:v>Ethiopia</c:v>
                </c:pt>
              </c:strCache>
            </c:strRef>
          </c:cat>
          <c:val>
            <c:numRef>
              <c:f>'Project Data_summary'!$E$6:$E$22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numCache>
            </c:numRef>
          </c:val>
          <c:extLst>
            <c:ext xmlns:c16="http://schemas.microsoft.com/office/drawing/2014/chart" uri="{C3380CC4-5D6E-409C-BE32-E72D297353CC}">
              <c16:uniqueId val="{00000002-5363-419D-BB80-9B68ADDB6A6E}"/>
            </c:ext>
          </c:extLst>
        </c:ser>
        <c:ser>
          <c:idx val="3"/>
          <c:order val="3"/>
          <c:tx>
            <c:strRef>
              <c:f>'Project Data_summary'!$F$5</c:f>
              <c:strCache>
                <c:ptCount val="1"/>
                <c:pt idx="0">
                  <c:v>Transportation</c:v>
                </c:pt>
              </c:strCache>
            </c:strRef>
          </c:tx>
          <c:spPr>
            <a:solidFill>
              <a:schemeClr val="accent2">
                <a:lumMod val="60000"/>
              </a:schemeClr>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Kenya</c:v>
                </c:pt>
                <c:pt idx="7">
                  <c:v>Cambodia</c:v>
                </c:pt>
                <c:pt idx="8">
                  <c:v>Saudi Arabia</c:v>
                </c:pt>
                <c:pt idx="9">
                  <c:v>Maldives</c:v>
                </c:pt>
                <c:pt idx="10">
                  <c:v>Lao PDR</c:v>
                </c:pt>
                <c:pt idx="11">
                  <c:v>Chile</c:v>
                </c:pt>
                <c:pt idx="12">
                  <c:v>Myanmar</c:v>
                </c:pt>
                <c:pt idx="13">
                  <c:v>Costa Rica</c:v>
                </c:pt>
                <c:pt idx="14">
                  <c:v>Philippines</c:v>
                </c:pt>
                <c:pt idx="15">
                  <c:v>Mexico</c:v>
                </c:pt>
                <c:pt idx="16">
                  <c:v>Ethiopia</c:v>
                </c:pt>
              </c:strCache>
            </c:strRef>
          </c:cat>
          <c:val>
            <c:numRef>
              <c:f>'Project Data_summary'!$F$6:$F$22</c:f>
              <c:numCache>
                <c:formatCode>General</c:formatCode>
                <c:ptCount val="17"/>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5363-419D-BB80-9B68ADDB6A6E}"/>
            </c:ext>
          </c:extLst>
        </c:ser>
        <c:dLbls>
          <c:showLegendKey val="0"/>
          <c:showVal val="0"/>
          <c:showCatName val="0"/>
          <c:showSerName val="0"/>
          <c:showPercent val="0"/>
          <c:showBubbleSize val="0"/>
        </c:dLbls>
        <c:gapWidth val="55"/>
        <c:overlap val="100"/>
        <c:axId val="442045144"/>
        <c:axId val="442047112"/>
      </c:barChart>
      <c:catAx>
        <c:axId val="442045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42047112"/>
        <c:crosses val="autoZero"/>
        <c:auto val="1"/>
        <c:lblAlgn val="ctr"/>
        <c:lblOffset val="100"/>
        <c:noMultiLvlLbl val="0"/>
      </c:catAx>
      <c:valAx>
        <c:axId val="4420471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42045144"/>
        <c:crosses val="autoZero"/>
        <c:crossBetween val="between"/>
      </c:valAx>
      <c:spPr>
        <a:noFill/>
        <a:ln>
          <a:noFill/>
        </a:ln>
        <a:effectLst/>
      </c:spPr>
    </c:plotArea>
    <c:legend>
      <c:legendPos val="r"/>
      <c:layout>
        <c:manualLayout>
          <c:xMode val="edge"/>
          <c:yMode val="edge"/>
          <c:x val="0.76086630117974574"/>
          <c:y val="0.21852544517931671"/>
          <c:w val="0.22870425054764873"/>
          <c:h val="0.6168072294144386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1945820</xdr:colOff>
      <xdr:row>26</xdr:row>
      <xdr:rowOff>1701</xdr:rowOff>
    </xdr:from>
    <xdr:to>
      <xdr:col>10</xdr:col>
      <xdr:colOff>0</xdr:colOff>
      <xdr:row>49</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12006</xdr:colOff>
      <xdr:row>61</xdr:row>
      <xdr:rowOff>17929</xdr:rowOff>
    </xdr:from>
    <xdr:to>
      <xdr:col>4</xdr:col>
      <xdr:colOff>0</xdr:colOff>
      <xdr:row>80</xdr:row>
      <xdr:rowOff>27214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27214</xdr:colOff>
      <xdr:row>61</xdr:row>
      <xdr:rowOff>8326</xdr:rowOff>
    </xdr:from>
    <xdr:to>
      <xdr:col>7</xdr:col>
      <xdr:colOff>802821</xdr:colOff>
      <xdr:row>80</xdr:row>
      <xdr:rowOff>13608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6803</xdr:colOff>
      <xdr:row>25</xdr:row>
      <xdr:rowOff>254452</xdr:rowOff>
    </xdr:from>
    <xdr:to>
      <xdr:col>4</xdr:col>
      <xdr:colOff>1945820</xdr:colOff>
      <xdr:row>48</xdr:row>
      <xdr:rowOff>136072</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0.45323</cdr:x>
      <cdr:y>0.49924</cdr:y>
    </cdr:from>
    <cdr:to>
      <cdr:x>0.56527</cdr:x>
      <cdr:y>0.59288</cdr:y>
    </cdr:to>
    <cdr:sp macro="" textlink="Methodologies_summary!$H$23">
      <cdr:nvSpPr>
        <cdr:cNvPr id="3" name="テキスト ボックス 2"/>
        <cdr:cNvSpPr txBox="1"/>
      </cdr:nvSpPr>
      <cdr:spPr>
        <a:xfrm xmlns:a="http://schemas.openxmlformats.org/drawingml/2006/main">
          <a:off x="3005729" y="2049838"/>
          <a:ext cx="743019" cy="3845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5218522F-E62F-4B1A-A65F-B3B73BE90D45}" type="TxLink">
            <a:rPr lang="en-US" altLang="en-US" sz="2000" b="0" i="0" u="none" strike="noStrike">
              <a:solidFill>
                <a:srgbClr val="000000"/>
              </a:solidFill>
              <a:latin typeface="Arial"/>
              <a:ea typeface="ＭＳ Ｐゴシック"/>
              <a:cs typeface="Arial"/>
            </a:rPr>
            <a:pPr algn="ctr"/>
            <a:t>81</a:t>
          </a:fld>
          <a:endParaRPr lang="ja-JP" altLang="en-US" sz="4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0.30246</cdr:x>
      <cdr:y>0.39556</cdr:y>
    </cdr:from>
    <cdr:to>
      <cdr:x>0.69445</cdr:x>
      <cdr:y>0.56278</cdr:y>
    </cdr:to>
    <cdr:sp macro="" textlink="">
      <cdr:nvSpPr>
        <cdr:cNvPr id="4" name="テキスト ボックス 3"/>
        <cdr:cNvSpPr txBox="1"/>
      </cdr:nvSpPr>
      <cdr:spPr>
        <a:xfrm xmlns:a="http://schemas.openxmlformats.org/drawingml/2006/main">
          <a:off x="2005873" y="1624136"/>
          <a:ext cx="2599541" cy="68661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altLang="ja-JP" sz="1600" b="1"/>
            <a:t>Total number of AM</a:t>
          </a:r>
          <a:endParaRPr lang="ja-JP" altLang="en-US" sz="1600" b="1"/>
        </a:p>
      </cdr:txBody>
    </cdr:sp>
  </cdr:relSizeAnchor>
</c:userShapes>
</file>

<file path=xl/drawings/drawing3.xml><?xml version="1.0" encoding="utf-8"?>
<c:userShapes xmlns:c="http://schemas.openxmlformats.org/drawingml/2006/chart">
  <cdr:relSizeAnchor xmlns:cdr="http://schemas.openxmlformats.org/drawingml/2006/chartDrawing">
    <cdr:from>
      <cdr:x>0.41667</cdr:x>
      <cdr:y>0.4326</cdr:y>
    </cdr:from>
    <cdr:to>
      <cdr:x>0.61765</cdr:x>
      <cdr:y>0.5674</cdr:y>
    </cdr:to>
    <cdr:sp macro="" textlink="">
      <cdr:nvSpPr>
        <cdr:cNvPr id="2" name="テキスト ボックス 1"/>
        <cdr:cNvSpPr txBox="1"/>
      </cdr:nvSpPr>
      <cdr:spPr>
        <a:xfrm xmlns:a="http://schemas.openxmlformats.org/drawingml/2006/main">
          <a:off x="1905000" y="1186703"/>
          <a:ext cx="918883" cy="3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0</xdr:colOff>
      <xdr:row>23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6803</xdr:colOff>
      <xdr:row>124</xdr:row>
      <xdr:rowOff>19728</xdr:rowOff>
    </xdr:from>
    <xdr:to>
      <xdr:col>10</xdr:col>
      <xdr:colOff>0</xdr:colOff>
      <xdr:row>140</xdr:row>
      <xdr:rowOff>51955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668229</xdr:colOff>
      <xdr:row>57</xdr:row>
      <xdr:rowOff>11045</xdr:rowOff>
    </xdr:from>
    <xdr:to>
      <xdr:col>10</xdr:col>
      <xdr:colOff>0</xdr:colOff>
      <xdr:row>83</xdr:row>
      <xdr:rowOff>126466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673554</xdr:colOff>
      <xdr:row>95</xdr:row>
      <xdr:rowOff>1114</xdr:rowOff>
    </xdr:from>
    <xdr:to>
      <xdr:col>9</xdr:col>
      <xdr:colOff>1021773</xdr:colOff>
      <xdr:row>119</xdr:row>
      <xdr:rowOff>138546</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4</xdr:row>
      <xdr:rowOff>12325</xdr:rowOff>
    </xdr:from>
    <xdr:to>
      <xdr:col>15</xdr:col>
      <xdr:colOff>11205</xdr:colOff>
      <xdr:row>23</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0.44737</cdr:x>
      <cdr:y>0.49061</cdr:y>
    </cdr:from>
    <cdr:to>
      <cdr:x>0.5627</cdr:x>
      <cdr:y>0.57907</cdr:y>
    </cdr:to>
    <cdr:sp macro="" textlink="'Project Data_summary'!$G$23">
      <cdr:nvSpPr>
        <cdr:cNvPr id="2" name="テキスト ボックス 1"/>
        <cdr:cNvSpPr txBox="1"/>
      </cdr:nvSpPr>
      <cdr:spPr>
        <a:xfrm xmlns:a="http://schemas.openxmlformats.org/drawingml/2006/main">
          <a:off x="1850572" y="2516777"/>
          <a:ext cx="477077" cy="4537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B30A460-AA45-4E2C-A0A7-B8CE925406F3}" type="TxLink">
            <a:rPr lang="en-US" altLang="en-US" sz="1800" b="0" i="0" u="none" strike="noStrike">
              <a:solidFill>
                <a:srgbClr val="000000"/>
              </a:solidFill>
              <a:latin typeface="Arial"/>
              <a:ea typeface="ＭＳ Ｐゴシック"/>
              <a:cs typeface="Arial"/>
            </a:rPr>
            <a:pPr algn="ctr"/>
            <a:t>64</a:t>
          </a:fld>
          <a:endParaRPr lang="ja-JP" altLang="en-US" sz="2800" b="1"/>
        </a:p>
      </cdr:txBody>
    </cdr:sp>
  </cdr:relSizeAnchor>
  <cdr:relSizeAnchor xmlns:cdr="http://schemas.openxmlformats.org/drawingml/2006/chartDrawing">
    <cdr:from>
      <cdr:x>0.3032</cdr:x>
      <cdr:y>0.35741</cdr:y>
    </cdr:from>
    <cdr:to>
      <cdr:x>0.69394</cdr:x>
      <cdr:y>0.54018</cdr:y>
    </cdr:to>
    <cdr:sp macro="" textlink="">
      <cdr:nvSpPr>
        <cdr:cNvPr id="3" name="テキスト ボックス 1"/>
        <cdr:cNvSpPr txBox="1"/>
      </cdr:nvSpPr>
      <cdr:spPr>
        <a:xfrm xmlns:a="http://schemas.openxmlformats.org/drawingml/2006/main">
          <a:off x="1254209" y="1833475"/>
          <a:ext cx="1616324" cy="9375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a:t>Total number of RP</a:t>
          </a:r>
          <a:endParaRPr lang="ja-JP" altLang="en-US" sz="1600" b="1"/>
        </a:p>
      </cdr:txBody>
    </cdr:sp>
  </cdr:relSizeAnchor>
</c:userShapes>
</file>

<file path=xl/drawings/drawing6.xml><?xml version="1.0" encoding="utf-8"?>
<c:userShapes xmlns:c="http://schemas.openxmlformats.org/drawingml/2006/chart">
  <cdr:relSizeAnchor xmlns:cdr="http://schemas.openxmlformats.org/drawingml/2006/chartDrawing">
    <cdr:from>
      <cdr:x>0.32881</cdr:x>
      <cdr:y>0.84845</cdr:y>
    </cdr:from>
    <cdr:to>
      <cdr:x>0.42953</cdr:x>
      <cdr:y>0.89122</cdr:y>
    </cdr:to>
    <cdr:sp macro="" textlink="">
      <cdr:nvSpPr>
        <cdr:cNvPr id="2" name="テキスト ボックス 1"/>
        <cdr:cNvSpPr txBox="1"/>
      </cdr:nvSpPr>
      <cdr:spPr>
        <a:xfrm xmlns:a="http://schemas.openxmlformats.org/drawingml/2006/main">
          <a:off x="3408802" y="5500973"/>
          <a:ext cx="1044180" cy="277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200">
              <a:solidFill>
                <a:schemeClr val="bg1"/>
              </a:solidFill>
            </a:rPr>
            <a:t>Energy</a:t>
          </a:r>
          <a:r>
            <a:rPr lang="en-US" altLang="ja-JP" sz="1200" baseline="0">
              <a:solidFill>
                <a:schemeClr val="bg1"/>
              </a:solidFill>
            </a:rPr>
            <a:t> efficiency</a:t>
          </a:r>
          <a:endParaRPr lang="ja-JP" altLang="en-US" sz="1200">
            <a:solidFill>
              <a:schemeClr val="bg1"/>
            </a:solidFill>
          </a:endParaRPr>
        </a:p>
      </cdr:txBody>
    </cdr:sp>
  </cdr:relSizeAnchor>
  <cdr:relSizeAnchor xmlns:cdr="http://schemas.openxmlformats.org/drawingml/2006/chartDrawing">
    <cdr:from>
      <cdr:x>0.25113</cdr:x>
      <cdr:y>0.19205</cdr:y>
    </cdr:from>
    <cdr:to>
      <cdr:x>0.42916</cdr:x>
      <cdr:y>0.23863</cdr:y>
    </cdr:to>
    <cdr:sp macro="" textlink="">
      <cdr:nvSpPr>
        <cdr:cNvPr id="3" name="テキスト ボックス 1"/>
        <cdr:cNvSpPr txBox="1"/>
      </cdr:nvSpPr>
      <cdr:spPr>
        <a:xfrm xmlns:a="http://schemas.openxmlformats.org/drawingml/2006/main">
          <a:off x="2603492" y="957693"/>
          <a:ext cx="1845666" cy="2322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solidFill>
                <a:sysClr val="windowText" lastClr="000000"/>
              </a:solidFill>
            </a:rPr>
            <a:t>Renewable</a:t>
          </a:r>
          <a:r>
            <a:rPr lang="en-US" altLang="ja-JP" sz="1200" baseline="0">
              <a:solidFill>
                <a:sysClr val="windowText" lastClr="000000"/>
              </a:solidFill>
            </a:rPr>
            <a:t> energy</a:t>
          </a:r>
          <a:endParaRPr lang="ja-JP" altLang="en-US" sz="1200">
            <a:solidFill>
              <a:sysClr val="windowText" lastClr="000000"/>
            </a:solidFill>
          </a:endParaRPr>
        </a:p>
      </cdr:txBody>
    </cdr:sp>
  </cdr:relSizeAnchor>
  <cdr:relSizeAnchor xmlns:cdr="http://schemas.openxmlformats.org/drawingml/2006/chartDrawing">
    <cdr:from>
      <cdr:x>0.54998</cdr:x>
      <cdr:y>0.0864</cdr:y>
    </cdr:from>
    <cdr:to>
      <cdr:x>0.67141</cdr:x>
      <cdr:y>0.13491</cdr:y>
    </cdr:to>
    <cdr:sp macro="" textlink="">
      <cdr:nvSpPr>
        <cdr:cNvPr id="6" name="テキスト ボックス 1"/>
        <cdr:cNvSpPr txBox="1"/>
      </cdr:nvSpPr>
      <cdr:spPr>
        <a:xfrm xmlns:a="http://schemas.openxmlformats.org/drawingml/2006/main">
          <a:off x="5701781" y="430847"/>
          <a:ext cx="1258885" cy="241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t>Transportation</a:t>
          </a:r>
        </a:p>
      </cdr:txBody>
    </cdr:sp>
  </cdr:relSizeAnchor>
  <cdr:relSizeAnchor xmlns:cdr="http://schemas.openxmlformats.org/drawingml/2006/chartDrawing">
    <cdr:from>
      <cdr:x>0.4039</cdr:x>
      <cdr:y>0.58048</cdr:y>
    </cdr:from>
    <cdr:to>
      <cdr:x>0.58193</cdr:x>
      <cdr:y>0.62706</cdr:y>
    </cdr:to>
    <cdr:sp macro="" textlink="">
      <cdr:nvSpPr>
        <cdr:cNvPr id="7" name="テキスト ボックス 1"/>
        <cdr:cNvSpPr txBox="1"/>
      </cdr:nvSpPr>
      <cdr:spPr>
        <a:xfrm xmlns:a="http://schemas.openxmlformats.org/drawingml/2006/main">
          <a:off x="4187337" y="2894709"/>
          <a:ext cx="1845666" cy="2322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solidFill>
                <a:schemeClr val="bg1"/>
              </a:solidFill>
            </a:rPr>
            <a:t>Enerfy</a:t>
          </a:r>
          <a:r>
            <a:rPr lang="en-US" altLang="ja-JP" sz="1200" baseline="0">
              <a:solidFill>
                <a:schemeClr val="bg1"/>
              </a:solidFill>
            </a:rPr>
            <a:t> Efficiency</a:t>
          </a:r>
          <a:endParaRPr lang="ja-JP" altLang="en-US" sz="1200">
            <a:solidFill>
              <a:schemeClr val="bg1"/>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666749</xdr:colOff>
      <xdr:row>27</xdr:row>
      <xdr:rowOff>27214</xdr:rowOff>
    </xdr:from>
    <xdr:to>
      <xdr:col>8</xdr:col>
      <xdr:colOff>1306286</xdr:colOff>
      <xdr:row>54</xdr:row>
      <xdr:rowOff>108857</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80</xdr:row>
      <xdr:rowOff>9522</xdr:rowOff>
    </xdr:from>
    <xdr:to>
      <xdr:col>8</xdr:col>
      <xdr:colOff>1311089</xdr:colOff>
      <xdr:row>107</xdr:row>
      <xdr:rowOff>27213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http://gec.jp/jcm/projects/18pro_tha_02/" TargetMode="External"/><Relationship Id="rId21" Type="http://schemas.openxmlformats.org/officeDocument/2006/relationships/hyperlink" Target="http://gec.jp/jcm/projects/15pro_ina_04/" TargetMode="External"/><Relationship Id="rId42" Type="http://schemas.openxmlformats.org/officeDocument/2006/relationships/hyperlink" Target="http://gec.jp/jcm/projects/16pro_tha_06/" TargetMode="External"/><Relationship Id="rId63" Type="http://schemas.openxmlformats.org/officeDocument/2006/relationships/hyperlink" Target="http://gec.jp/jcm/projects/15pro_cam_02/" TargetMode="External"/><Relationship Id="rId84" Type="http://schemas.openxmlformats.org/officeDocument/2006/relationships/hyperlink" Target="http://gec.jp/jcm/projects/17pro_phl_04/" TargetMode="External"/><Relationship Id="rId138" Type="http://schemas.openxmlformats.org/officeDocument/2006/relationships/hyperlink" Target="http://www.nedo.go.jp/content/100766232.pdf" TargetMode="External"/><Relationship Id="rId159" Type="http://schemas.openxmlformats.org/officeDocument/2006/relationships/hyperlink" Target="http://gec.jp/jcm/projects/19pro_tha_02/" TargetMode="External"/><Relationship Id="rId170" Type="http://schemas.openxmlformats.org/officeDocument/2006/relationships/hyperlink" Target="https://www.jcm.go.jp/vn-jp/projects/7" TargetMode="External"/><Relationship Id="rId191" Type="http://schemas.openxmlformats.org/officeDocument/2006/relationships/hyperlink" Target="https://www.jcm.go.jp/bd-jp/projects/26" TargetMode="External"/><Relationship Id="rId205" Type="http://schemas.openxmlformats.org/officeDocument/2006/relationships/hyperlink" Target="http://gec.jp/jcm/projects/19pro_idn_01/" TargetMode="External"/><Relationship Id="rId226" Type="http://schemas.openxmlformats.org/officeDocument/2006/relationships/hyperlink" Target="http://gec.jp/jcm/projects/16redd_lao_01/" TargetMode="External"/><Relationship Id="rId107" Type="http://schemas.openxmlformats.org/officeDocument/2006/relationships/hyperlink" Target="http://gec.jp/jcm/projects/14redd_ina_01/" TargetMode="External"/><Relationship Id="rId11" Type="http://schemas.openxmlformats.org/officeDocument/2006/relationships/hyperlink" Target="http://gec.jp/jcm/projects/15pro_ina_01/" TargetMode="External"/><Relationship Id="rId32" Type="http://schemas.openxmlformats.org/officeDocument/2006/relationships/hyperlink" Target="http://gec.jp/jcm/projects/16pro_cam_03/" TargetMode="External"/><Relationship Id="rId53" Type="http://schemas.openxmlformats.org/officeDocument/2006/relationships/hyperlink" Target="http://gec.jp/jcm/projects/16pro_mgl_01/" TargetMode="External"/><Relationship Id="rId74" Type="http://schemas.openxmlformats.org/officeDocument/2006/relationships/hyperlink" Target="http://gec.jp/jcm/projects/15pro_vie_06/" TargetMode="External"/><Relationship Id="rId128" Type="http://schemas.openxmlformats.org/officeDocument/2006/relationships/hyperlink" Target="http://gec.jp/jcm/projects/18pro_ina_06/" TargetMode="External"/><Relationship Id="rId149" Type="http://schemas.openxmlformats.org/officeDocument/2006/relationships/hyperlink" Target="https://www.jcm.go.jp/id-jp/projects/46" TargetMode="External"/><Relationship Id="rId5" Type="http://schemas.openxmlformats.org/officeDocument/2006/relationships/hyperlink" Target="http://gec.jp/jcm/projects/14pro_ina_04" TargetMode="External"/><Relationship Id="rId95" Type="http://schemas.openxmlformats.org/officeDocument/2006/relationships/hyperlink" Target="http://gec.jp/jcm/projects/17pro_mex_02/" TargetMode="External"/><Relationship Id="rId160" Type="http://schemas.openxmlformats.org/officeDocument/2006/relationships/hyperlink" Target="https://www.jcm.go.jp/mn-jp/projects/22" TargetMode="External"/><Relationship Id="rId181" Type="http://schemas.openxmlformats.org/officeDocument/2006/relationships/hyperlink" Target="https://www.jcm.go.jp/id-jp/projects/42" TargetMode="External"/><Relationship Id="rId216" Type="http://schemas.openxmlformats.org/officeDocument/2006/relationships/hyperlink" Target="http://gec.jp/jcm/projects/19pro_tha_03/" TargetMode="External"/><Relationship Id="rId237" Type="http://schemas.openxmlformats.org/officeDocument/2006/relationships/hyperlink" Target="http://gec.jp/jcm/projects/20pro_vnm_04/" TargetMode="External"/><Relationship Id="rId22" Type="http://schemas.openxmlformats.org/officeDocument/2006/relationships/hyperlink" Target="http://gec.jp/jcm/projects/15pro_tha_05/" TargetMode="External"/><Relationship Id="rId43" Type="http://schemas.openxmlformats.org/officeDocument/2006/relationships/hyperlink" Target="http://gec.jp/jcm/projects/16pro_vie_03/" TargetMode="External"/><Relationship Id="rId64" Type="http://schemas.openxmlformats.org/officeDocument/2006/relationships/hyperlink" Target="http://gec.jp/jcm/projects/15pro_ina_06/" TargetMode="External"/><Relationship Id="rId118" Type="http://schemas.openxmlformats.org/officeDocument/2006/relationships/hyperlink" Target="http://gec.jp/jcm/projects/18pro_tha_03/" TargetMode="External"/><Relationship Id="rId139" Type="http://schemas.openxmlformats.org/officeDocument/2006/relationships/hyperlink" Target="http://www.nedo.go.jp/content/100766230.pdf" TargetMode="External"/><Relationship Id="rId85" Type="http://schemas.openxmlformats.org/officeDocument/2006/relationships/hyperlink" Target="http://gec.jp/jcm/projects/13pro_plw_01/" TargetMode="External"/><Relationship Id="rId150" Type="http://schemas.openxmlformats.org/officeDocument/2006/relationships/hyperlink" Target="https://www.jcm.go.jp/id-jp/projects/40" TargetMode="External"/><Relationship Id="rId171" Type="http://schemas.openxmlformats.org/officeDocument/2006/relationships/hyperlink" Target="https://www.jcm.go.jp/vn-jp/projects/15" TargetMode="External"/><Relationship Id="rId192" Type="http://schemas.openxmlformats.org/officeDocument/2006/relationships/hyperlink" Target="https://www.jcm.go.jp/bd-jp/projects/38" TargetMode="External"/><Relationship Id="rId206" Type="http://schemas.openxmlformats.org/officeDocument/2006/relationships/hyperlink" Target="http://gec.jp/jcm/projects/19pro_idn_02/" TargetMode="External"/><Relationship Id="rId227" Type="http://schemas.openxmlformats.org/officeDocument/2006/relationships/hyperlink" Target="https://www.jcm.go.jp/kh-jp/projects/66" TargetMode="External"/><Relationship Id="rId201" Type="http://schemas.openxmlformats.org/officeDocument/2006/relationships/hyperlink" Target="https://www.jcm.go.jp/cl-jp/projects/61" TargetMode="External"/><Relationship Id="rId222" Type="http://schemas.openxmlformats.org/officeDocument/2006/relationships/hyperlink" Target="https://www.jcm.go.jp/projects/24" TargetMode="External"/><Relationship Id="rId243" Type="http://schemas.openxmlformats.org/officeDocument/2006/relationships/hyperlink" Target="http://gec.jp/jcm/projects/20pro_tha_02/" TargetMode="External"/><Relationship Id="rId12" Type="http://schemas.openxmlformats.org/officeDocument/2006/relationships/hyperlink" Target="http://gec.jp/jcm/projects/15pro_ina_02/" TargetMode="External"/><Relationship Id="rId17" Type="http://schemas.openxmlformats.org/officeDocument/2006/relationships/hyperlink" Target="http://gec.jp/jcm/projects/15pro_vie_01" TargetMode="External"/><Relationship Id="rId33" Type="http://schemas.openxmlformats.org/officeDocument/2006/relationships/hyperlink" Target="http://gec.jp/jcm/projects/16pro_tha_11/" TargetMode="External"/><Relationship Id="rId38" Type="http://schemas.openxmlformats.org/officeDocument/2006/relationships/hyperlink" Target="http://gec.jp/jcm/projects/16pro_tha_08/" TargetMode="External"/><Relationship Id="rId59" Type="http://schemas.openxmlformats.org/officeDocument/2006/relationships/hyperlink" Target="http://gec.jp/jcm/projects/16pro_vie_02/" TargetMode="External"/><Relationship Id="rId103" Type="http://schemas.openxmlformats.org/officeDocument/2006/relationships/hyperlink" Target="http://gec.jp/jcm/kobo/mp180130/" TargetMode="External"/><Relationship Id="rId108" Type="http://schemas.openxmlformats.org/officeDocument/2006/relationships/hyperlink" Target="http://gec.jp/jcm/projects/17pro_ina_04/" TargetMode="External"/><Relationship Id="rId124" Type="http://schemas.openxmlformats.org/officeDocument/2006/relationships/hyperlink" Target="https://www.nedo.go.jp/english/news/AA5en_100142.html" TargetMode="External"/><Relationship Id="rId129" Type="http://schemas.openxmlformats.org/officeDocument/2006/relationships/hyperlink" Target="http://gec.jp/jcm/projects/18pro_ina_07/" TargetMode="External"/><Relationship Id="rId54" Type="http://schemas.openxmlformats.org/officeDocument/2006/relationships/hyperlink" Target="http://gec.jp/jcm/projects/16pro_mya_01/" TargetMode="External"/><Relationship Id="rId70" Type="http://schemas.openxmlformats.org/officeDocument/2006/relationships/hyperlink" Target="http://gec.jp/jcm/projects/15pro_tha_06/" TargetMode="External"/><Relationship Id="rId75" Type="http://schemas.openxmlformats.org/officeDocument/2006/relationships/hyperlink" Target="http://gec.jp/jcm/projects/15pro_vie_08/" TargetMode="External"/><Relationship Id="rId91" Type="http://schemas.openxmlformats.org/officeDocument/2006/relationships/hyperlink" Target="http://gec.jp/jcm/projects/17pro_tha_01/" TargetMode="External"/><Relationship Id="rId96" Type="http://schemas.openxmlformats.org/officeDocument/2006/relationships/hyperlink" Target="http://gec.jp/jcm/projects/17pro_mgl_01/" TargetMode="External"/><Relationship Id="rId140" Type="http://schemas.openxmlformats.org/officeDocument/2006/relationships/hyperlink" Target="https://www.nedo.go.jp/content/100802730.pdf" TargetMode="External"/><Relationship Id="rId145" Type="http://schemas.openxmlformats.org/officeDocument/2006/relationships/hyperlink" Target="https://www.jcm.go.jp/vn-jp/projects/33" TargetMode="External"/><Relationship Id="rId161" Type="http://schemas.openxmlformats.org/officeDocument/2006/relationships/hyperlink" Target="https://www.jcm.go.jp/mn-jp/projects/21" TargetMode="External"/><Relationship Id="rId166" Type="http://schemas.openxmlformats.org/officeDocument/2006/relationships/hyperlink" Target="https://www.jcm.go.jp/vn-jp/projects/23" TargetMode="External"/><Relationship Id="rId182" Type="http://schemas.openxmlformats.org/officeDocument/2006/relationships/hyperlink" Target="https://www.jcm.go.jp/id-jp/projects/29" TargetMode="External"/><Relationship Id="rId187" Type="http://schemas.openxmlformats.org/officeDocument/2006/relationships/hyperlink" Target="https://www.jcm.go.jp/id-jp/projects/11" TargetMode="External"/><Relationship Id="rId217" Type="http://schemas.openxmlformats.org/officeDocument/2006/relationships/hyperlink" Target="http://gec.jp/jcm/projects/19pro_phl_04/" TargetMode="External"/><Relationship Id="rId1" Type="http://schemas.openxmlformats.org/officeDocument/2006/relationships/hyperlink" Target="http://gec.jp/jcm/projects/14pro_mdv_01" TargetMode="External"/><Relationship Id="rId6" Type="http://schemas.openxmlformats.org/officeDocument/2006/relationships/hyperlink" Target="http://gec.jp/jcm/projects/14pro_ina_06/" TargetMode="External"/><Relationship Id="rId212" Type="http://schemas.openxmlformats.org/officeDocument/2006/relationships/hyperlink" Target="http://gec.jp/jcm/projects/19pro_idn_04/" TargetMode="External"/><Relationship Id="rId233" Type="http://schemas.openxmlformats.org/officeDocument/2006/relationships/hyperlink" Target="http://gec.jp/jcm/projects/20pro_vnm_05/" TargetMode="External"/><Relationship Id="rId238" Type="http://schemas.openxmlformats.org/officeDocument/2006/relationships/hyperlink" Target="http://gec.jp/jcm/projects/20pro_lao_01/" TargetMode="External"/><Relationship Id="rId23" Type="http://schemas.openxmlformats.org/officeDocument/2006/relationships/hyperlink" Target="http://gec.jp/jcm/projects/15pro_tha_03/" TargetMode="External"/><Relationship Id="rId28" Type="http://schemas.openxmlformats.org/officeDocument/2006/relationships/hyperlink" Target="http://gec.jp/jcm/projects/16pro_tha_13/" TargetMode="External"/><Relationship Id="rId49" Type="http://schemas.openxmlformats.org/officeDocument/2006/relationships/hyperlink" Target="http://gec.jp/jcm/projects/16pro_ina_01/" TargetMode="External"/><Relationship Id="rId114" Type="http://schemas.openxmlformats.org/officeDocument/2006/relationships/hyperlink" Target="http://gec.jp/jcm/projects/18pro_plw_01/" TargetMode="External"/><Relationship Id="rId119" Type="http://schemas.openxmlformats.org/officeDocument/2006/relationships/hyperlink" Target="http://gec.jp/jcm/projects/18pro_phl_01/" TargetMode="External"/><Relationship Id="rId44" Type="http://schemas.openxmlformats.org/officeDocument/2006/relationships/hyperlink" Target="http://gec.jp/jcm/projects/16pro_vie_04/" TargetMode="External"/><Relationship Id="rId60" Type="http://schemas.openxmlformats.org/officeDocument/2006/relationships/hyperlink" Target="http://gec.jp/jcm/projects/16pro_vie_01/" TargetMode="External"/><Relationship Id="rId65" Type="http://schemas.openxmlformats.org/officeDocument/2006/relationships/hyperlink" Target="http://gec.jp/jcm/projects/15pro_ina_05/" TargetMode="External"/><Relationship Id="rId81" Type="http://schemas.openxmlformats.org/officeDocument/2006/relationships/hyperlink" Target="http://gec.jp/jcm/projects/13pro_ina_04/" TargetMode="External"/><Relationship Id="rId86" Type="http://schemas.openxmlformats.org/officeDocument/2006/relationships/hyperlink" Target="http://gec.jp/jcm/projects/14pro_ina_05/" TargetMode="External"/><Relationship Id="rId130" Type="http://schemas.openxmlformats.org/officeDocument/2006/relationships/hyperlink" Target="http://gec.jp/jcm/projects/18pro_ina_05/" TargetMode="External"/><Relationship Id="rId135" Type="http://schemas.openxmlformats.org/officeDocument/2006/relationships/hyperlink" Target="http://gec.jp/jcm/projects/18pro_tha_05/" TargetMode="External"/><Relationship Id="rId151" Type="http://schemas.openxmlformats.org/officeDocument/2006/relationships/hyperlink" Target="https://www.jcm.go.jp/mn-jp/projects/27" TargetMode="External"/><Relationship Id="rId156" Type="http://schemas.openxmlformats.org/officeDocument/2006/relationships/hyperlink" Target="http://gec.jp/jcm/projects/19pro_mng_01/" TargetMode="External"/><Relationship Id="rId177" Type="http://schemas.openxmlformats.org/officeDocument/2006/relationships/hyperlink" Target="https://www.jcm.go.jp/id-jp/projects/20" TargetMode="External"/><Relationship Id="rId198" Type="http://schemas.openxmlformats.org/officeDocument/2006/relationships/hyperlink" Target="https://www.jcm.go.jp/th-jp/projects/53" TargetMode="External"/><Relationship Id="rId172" Type="http://schemas.openxmlformats.org/officeDocument/2006/relationships/hyperlink" Target="https://www.jcm.go.jp/vn-jp/projects/35" TargetMode="External"/><Relationship Id="rId193" Type="http://schemas.openxmlformats.org/officeDocument/2006/relationships/hyperlink" Target="https://www.jcm.go.jp/bd-jp/projects/39" TargetMode="External"/><Relationship Id="rId202" Type="http://schemas.openxmlformats.org/officeDocument/2006/relationships/hyperlink" Target="https://www.jcm.go.jp/id-jp/projects/62" TargetMode="External"/><Relationship Id="rId207" Type="http://schemas.openxmlformats.org/officeDocument/2006/relationships/hyperlink" Target="http://gec.jp/jcm/projects/19pro_chl_01/" TargetMode="External"/><Relationship Id="rId223" Type="http://schemas.openxmlformats.org/officeDocument/2006/relationships/hyperlink" Target="https://www.jcm.go.jp/id-jp/projects/73" TargetMode="External"/><Relationship Id="rId228" Type="http://schemas.openxmlformats.org/officeDocument/2006/relationships/hyperlink" Target="https://www.jcm.go.jp/ke-jp/projects/31" TargetMode="External"/><Relationship Id="rId244" Type="http://schemas.openxmlformats.org/officeDocument/2006/relationships/hyperlink" Target="https://www.adb.org/news/adb-approves-73-million-package-develop-waste-energy-facility-maldives" TargetMode="External"/><Relationship Id="rId13" Type="http://schemas.openxmlformats.org/officeDocument/2006/relationships/hyperlink" Target="http://gec.jp/jcm/projects/15pro_ina_03/" TargetMode="External"/><Relationship Id="rId18" Type="http://schemas.openxmlformats.org/officeDocument/2006/relationships/hyperlink" Target="http://gec.jp/jcm/projects/15pro_vie_02/" TargetMode="External"/><Relationship Id="rId39" Type="http://schemas.openxmlformats.org/officeDocument/2006/relationships/hyperlink" Target="http://gec.jp/jcm/projects/16pro_tha_07/" TargetMode="External"/><Relationship Id="rId109" Type="http://schemas.openxmlformats.org/officeDocument/2006/relationships/hyperlink" Target="http://gec.jp/jcm/projects/17pro_ina_03/" TargetMode="External"/><Relationship Id="rId34" Type="http://schemas.openxmlformats.org/officeDocument/2006/relationships/hyperlink" Target="http://gec.jp/jcm/projects/16pro_ina_06/" TargetMode="External"/><Relationship Id="rId50" Type="http://schemas.openxmlformats.org/officeDocument/2006/relationships/hyperlink" Target="http://gec.jp/jcm/projects/16pro_ina_05/" TargetMode="External"/><Relationship Id="rId55" Type="http://schemas.openxmlformats.org/officeDocument/2006/relationships/hyperlink" Target="http://gec.jp/jcm/projects/16pro_mya_02/" TargetMode="External"/><Relationship Id="rId76" Type="http://schemas.openxmlformats.org/officeDocument/2006/relationships/hyperlink" Target="http://gec.jp/jcm/projects/15pro_vie_03/" TargetMode="External"/><Relationship Id="rId97" Type="http://schemas.openxmlformats.org/officeDocument/2006/relationships/hyperlink" Target="http://gec.jp/jcm/projects/17pro_phl_02/" TargetMode="External"/><Relationship Id="rId104" Type="http://schemas.openxmlformats.org/officeDocument/2006/relationships/hyperlink" Target="http://gec.jp/jcm/projects/17pro_phl_05/" TargetMode="External"/><Relationship Id="rId120" Type="http://schemas.openxmlformats.org/officeDocument/2006/relationships/hyperlink" Target="http://gec.jp/jcm/projects/18pro_phl_02/" TargetMode="External"/><Relationship Id="rId125" Type="http://schemas.openxmlformats.org/officeDocument/2006/relationships/hyperlink" Target="https://www.nedo.go.jp/content/100766231.pdf" TargetMode="External"/><Relationship Id="rId141" Type="http://schemas.openxmlformats.org/officeDocument/2006/relationships/hyperlink" Target="http://gec.jp/jcm/projects/18pro_ken_01/" TargetMode="External"/><Relationship Id="rId146" Type="http://schemas.openxmlformats.org/officeDocument/2006/relationships/hyperlink" Target="https://www.nedo.go.jp/library/seika/shosai_201807/20180000000626.html" TargetMode="External"/><Relationship Id="rId167" Type="http://schemas.openxmlformats.org/officeDocument/2006/relationships/hyperlink" Target="https://www.jcm.go.jp/vn-jp/projects/52" TargetMode="External"/><Relationship Id="rId188" Type="http://schemas.openxmlformats.org/officeDocument/2006/relationships/hyperlink" Target="https://www.jcm.go.jp/mv-jp/projects/47" TargetMode="External"/><Relationship Id="rId7" Type="http://schemas.openxmlformats.org/officeDocument/2006/relationships/hyperlink" Target="http://gec.jp/jcm/projects/14pro_ina_07/" TargetMode="External"/><Relationship Id="rId71" Type="http://schemas.openxmlformats.org/officeDocument/2006/relationships/hyperlink" Target="http://gec.jp/jcm/projects/15pro_tha_07/" TargetMode="External"/><Relationship Id="rId92" Type="http://schemas.openxmlformats.org/officeDocument/2006/relationships/hyperlink" Target="http://gec.jp/jcm/projects/17pro_tha_02/" TargetMode="External"/><Relationship Id="rId162" Type="http://schemas.openxmlformats.org/officeDocument/2006/relationships/hyperlink" Target="https://www.jcm.go.jp/vn-jp/projects/60" TargetMode="External"/><Relationship Id="rId183" Type="http://schemas.openxmlformats.org/officeDocument/2006/relationships/hyperlink" Target="https://www.jcm.go.jp/id-jp/projects/9" TargetMode="External"/><Relationship Id="rId213" Type="http://schemas.openxmlformats.org/officeDocument/2006/relationships/hyperlink" Target="http://gec.jp/jcm/projects/19pro_khm_01/" TargetMode="External"/><Relationship Id="rId218" Type="http://schemas.openxmlformats.org/officeDocument/2006/relationships/hyperlink" Target="http://gec.jp/jcm/projects/19pro_vnm_03/" TargetMode="External"/><Relationship Id="rId234" Type="http://schemas.openxmlformats.org/officeDocument/2006/relationships/hyperlink" Target="http://gec.jp/jcm/projects/20pro_vnm_01/" TargetMode="External"/><Relationship Id="rId239" Type="http://schemas.openxmlformats.org/officeDocument/2006/relationships/hyperlink" Target="http://gec.jp/jcm/projects/20pro_idn_01/" TargetMode="External"/><Relationship Id="rId2" Type="http://schemas.openxmlformats.org/officeDocument/2006/relationships/hyperlink" Target="http://gec.jp/jcm/projects/14pro_vie_02" TargetMode="External"/><Relationship Id="rId29" Type="http://schemas.openxmlformats.org/officeDocument/2006/relationships/hyperlink" Target="http://gec.jp/jcm/projects/16pro_tha_12/" TargetMode="External"/><Relationship Id="rId24" Type="http://schemas.openxmlformats.org/officeDocument/2006/relationships/hyperlink" Target="http://gec.jp/jcm/projects/15pro_tha_04/" TargetMode="External"/><Relationship Id="rId40" Type="http://schemas.openxmlformats.org/officeDocument/2006/relationships/hyperlink" Target="http://gec.jp/jcm/projects/16pro_tha_05/" TargetMode="External"/><Relationship Id="rId45" Type="http://schemas.openxmlformats.org/officeDocument/2006/relationships/hyperlink" Target="http://gec.jp/jcm/projects/16pro_cam_01/" TargetMode="External"/><Relationship Id="rId66" Type="http://schemas.openxmlformats.org/officeDocument/2006/relationships/hyperlink" Target="http://gec.jp/jcm/projects/15pro_ken_02/" TargetMode="External"/><Relationship Id="rId87" Type="http://schemas.openxmlformats.org/officeDocument/2006/relationships/hyperlink" Target="http://gec.jp/jcm/projects/17pro_vie_01/" TargetMode="External"/><Relationship Id="rId110" Type="http://schemas.openxmlformats.org/officeDocument/2006/relationships/hyperlink" Target="http://gec.jp/jcm/projects/18pro_mgl_01/" TargetMode="External"/><Relationship Id="rId115" Type="http://schemas.openxmlformats.org/officeDocument/2006/relationships/hyperlink" Target="http://gec.jp/jcm/projects/18pro_mya_01/" TargetMode="External"/><Relationship Id="rId131" Type="http://schemas.openxmlformats.org/officeDocument/2006/relationships/hyperlink" Target="http://gec.jp/jcm/projects/18pro_tha_04/" TargetMode="External"/><Relationship Id="rId136" Type="http://schemas.openxmlformats.org/officeDocument/2006/relationships/hyperlink" Target="http://gec.jp/jcm/projects/18pro_vie_02/" TargetMode="External"/><Relationship Id="rId157" Type="http://schemas.openxmlformats.org/officeDocument/2006/relationships/hyperlink" Target="http://gec.jp/jcm/projects/19pro_plw_01/" TargetMode="External"/><Relationship Id="rId178" Type="http://schemas.openxmlformats.org/officeDocument/2006/relationships/hyperlink" Target="https://www.jcm.go.jp/id-jp/projects/57" TargetMode="External"/><Relationship Id="rId61" Type="http://schemas.openxmlformats.org/officeDocument/2006/relationships/hyperlink" Target="http://gec.jp/jcm/projects/15pro_ban_03/" TargetMode="External"/><Relationship Id="rId82" Type="http://schemas.openxmlformats.org/officeDocument/2006/relationships/hyperlink" Target="http://gec.jp/jcm/projects/13pro_ina_03/" TargetMode="External"/><Relationship Id="rId152" Type="http://schemas.openxmlformats.org/officeDocument/2006/relationships/hyperlink" Target="http://gec.jp/jcm/projects/19pro_phl_02/" TargetMode="External"/><Relationship Id="rId173" Type="http://schemas.openxmlformats.org/officeDocument/2006/relationships/hyperlink" Target="https://www.jcm.go.jp/pw-jp/projects/4" TargetMode="External"/><Relationship Id="rId194" Type="http://schemas.openxmlformats.org/officeDocument/2006/relationships/hyperlink" Target="https://www.jcm.go.jp/th-jp/projects/48" TargetMode="External"/><Relationship Id="rId199" Type="http://schemas.openxmlformats.org/officeDocument/2006/relationships/hyperlink" Target="https://www.jcm.go.jp/id-jp/projects/58" TargetMode="External"/><Relationship Id="rId203" Type="http://schemas.openxmlformats.org/officeDocument/2006/relationships/hyperlink" Target="http://gec.jp/jcm/projects/19pro_mdv_01/" TargetMode="External"/><Relationship Id="rId208" Type="http://schemas.openxmlformats.org/officeDocument/2006/relationships/hyperlink" Target="http://gec.jp/jcm/projects/19pro_eth_01/" TargetMode="External"/><Relationship Id="rId229" Type="http://schemas.openxmlformats.org/officeDocument/2006/relationships/hyperlink" Target="https://www.jcm.go.jp/mm-jp/projects/56" TargetMode="External"/><Relationship Id="rId19" Type="http://schemas.openxmlformats.org/officeDocument/2006/relationships/hyperlink" Target="http://gec.jp/jcm/projects/15pro_tha_01/" TargetMode="External"/><Relationship Id="rId224" Type="http://schemas.openxmlformats.org/officeDocument/2006/relationships/hyperlink" Target="https://www.jcm.go.jp/th-jp/projects/28" TargetMode="External"/><Relationship Id="rId240" Type="http://schemas.openxmlformats.org/officeDocument/2006/relationships/hyperlink" Target="http://gec.jp/jcm/projects/20pro_tha_01/" TargetMode="External"/><Relationship Id="rId245" Type="http://schemas.openxmlformats.org/officeDocument/2006/relationships/printerSettings" Target="../printerSettings/printerSettings7.bin"/><Relationship Id="rId14" Type="http://schemas.openxmlformats.org/officeDocument/2006/relationships/hyperlink" Target="http://gec.jp/jcm/projects/15pro_cam_01" TargetMode="External"/><Relationship Id="rId30" Type="http://schemas.openxmlformats.org/officeDocument/2006/relationships/hyperlink" Target="http://gec.jp/jcm/projects/16pro_mya_04/" TargetMode="External"/><Relationship Id="rId35" Type="http://schemas.openxmlformats.org/officeDocument/2006/relationships/hyperlink" Target="http://gec.jp/jcm/projects/16pro_mya_03/" TargetMode="External"/><Relationship Id="rId56" Type="http://schemas.openxmlformats.org/officeDocument/2006/relationships/hyperlink" Target="http://gec.jp/jcm/projects/16pro_tha_03/" TargetMode="External"/><Relationship Id="rId77" Type="http://schemas.openxmlformats.org/officeDocument/2006/relationships/hyperlink" Target="http://gec.jp/jcm/projects/14pro_ban_01/" TargetMode="External"/><Relationship Id="rId100" Type="http://schemas.openxmlformats.org/officeDocument/2006/relationships/hyperlink" Target="https://www.nedo.go.jp/content/100766233.pdf" TargetMode="External"/><Relationship Id="rId105" Type="http://schemas.openxmlformats.org/officeDocument/2006/relationships/hyperlink" Target="http://gec.jp/jcm/projects/13redd_vie_01/" TargetMode="External"/><Relationship Id="rId126" Type="http://schemas.openxmlformats.org/officeDocument/2006/relationships/hyperlink" Target="https://www.nedo.go.jp/content/100870080.pdf" TargetMode="External"/><Relationship Id="rId147" Type="http://schemas.openxmlformats.org/officeDocument/2006/relationships/hyperlink" Target="https://www.jcm.go.jp/la-jp/projects/18" TargetMode="External"/><Relationship Id="rId168" Type="http://schemas.openxmlformats.org/officeDocument/2006/relationships/hyperlink" Target="https://www.jcm.go.jp/vn-jp/projects/34" TargetMode="External"/><Relationship Id="rId8" Type="http://schemas.openxmlformats.org/officeDocument/2006/relationships/hyperlink" Target="http://gec.jp/jcm/projects/14pro_plw/" TargetMode="External"/><Relationship Id="rId51" Type="http://schemas.openxmlformats.org/officeDocument/2006/relationships/hyperlink" Target="http://gec.jp/jcm/projects/16pro_ina_03/" TargetMode="External"/><Relationship Id="rId72" Type="http://schemas.openxmlformats.org/officeDocument/2006/relationships/hyperlink" Target="http://gec.jp/jcm/projects/15pro_vie_04/" TargetMode="External"/><Relationship Id="rId93" Type="http://schemas.openxmlformats.org/officeDocument/2006/relationships/hyperlink" Target="http://gec.jp/jcm/projects/17pro_lao_01/" TargetMode="External"/><Relationship Id="rId98" Type="http://schemas.openxmlformats.org/officeDocument/2006/relationships/hyperlink" Target="http://gec.jp/jcm/projects/17pro_phl_01/" TargetMode="External"/><Relationship Id="rId121" Type="http://schemas.openxmlformats.org/officeDocument/2006/relationships/hyperlink" Target="http://gec.jp/jcm/projects/18pro_phl_03/" TargetMode="External"/><Relationship Id="rId142" Type="http://schemas.openxmlformats.org/officeDocument/2006/relationships/hyperlink" Target="http://gec.jp/jcm/projects/13pro_ina_01/" TargetMode="External"/><Relationship Id="rId163" Type="http://schemas.openxmlformats.org/officeDocument/2006/relationships/hyperlink" Target="https://www.jcm.go.jp/vn-jp/projects/54" TargetMode="External"/><Relationship Id="rId184" Type="http://schemas.openxmlformats.org/officeDocument/2006/relationships/hyperlink" Target="https://www.jcm.go.jp/id-jp/projects/1" TargetMode="External"/><Relationship Id="rId189" Type="http://schemas.openxmlformats.org/officeDocument/2006/relationships/hyperlink" Target="https://www.jcm.go.jp/kh-jp/projects/30" TargetMode="External"/><Relationship Id="rId219" Type="http://schemas.openxmlformats.org/officeDocument/2006/relationships/hyperlink" Target="https://www.adb.org/projects/49173-003/main" TargetMode="External"/><Relationship Id="rId3" Type="http://schemas.openxmlformats.org/officeDocument/2006/relationships/hyperlink" Target="http://gec.jp/jcm/projects/14pro_ina_02/" TargetMode="External"/><Relationship Id="rId214" Type="http://schemas.openxmlformats.org/officeDocument/2006/relationships/hyperlink" Target="http://gec.jp/jcm/projects/19pro_khm_02/" TargetMode="External"/><Relationship Id="rId230" Type="http://schemas.openxmlformats.org/officeDocument/2006/relationships/hyperlink" Target="https://www.jcm.go.jp/mn-jp/projects/21" TargetMode="External"/><Relationship Id="rId235" Type="http://schemas.openxmlformats.org/officeDocument/2006/relationships/hyperlink" Target="http://gec.jp/jcm/projects/20pro_vnm_02/" TargetMode="External"/><Relationship Id="rId25" Type="http://schemas.openxmlformats.org/officeDocument/2006/relationships/hyperlink" Target="http://gec.jp/jcm/projects/15pro_tha_02/" TargetMode="External"/><Relationship Id="rId46" Type="http://schemas.openxmlformats.org/officeDocument/2006/relationships/hyperlink" Target="http://gec.jp/jcm/projects/16pro_mex_01/" TargetMode="External"/><Relationship Id="rId67" Type="http://schemas.openxmlformats.org/officeDocument/2006/relationships/hyperlink" Target="http://gec.jp/jcm/projects/15pro_mgl_01/" TargetMode="External"/><Relationship Id="rId116" Type="http://schemas.openxmlformats.org/officeDocument/2006/relationships/hyperlink" Target="http://gec.jp/jcm/projects/18pro_tha_01/" TargetMode="External"/><Relationship Id="rId137" Type="http://schemas.openxmlformats.org/officeDocument/2006/relationships/hyperlink" Target="http://gec.jp/jcm/projects/18pro_mex_01/" TargetMode="External"/><Relationship Id="rId158" Type="http://schemas.openxmlformats.org/officeDocument/2006/relationships/hyperlink" Target="http://gec.jp/jcm/projects/19pro_tha_01/" TargetMode="External"/><Relationship Id="rId20" Type="http://schemas.openxmlformats.org/officeDocument/2006/relationships/hyperlink" Target="http://gec.jp/jcm/projects/15pro_mya_01" TargetMode="External"/><Relationship Id="rId41" Type="http://schemas.openxmlformats.org/officeDocument/2006/relationships/hyperlink" Target="http://gec.jp/jcm/projects/16pro_tha_09/" TargetMode="External"/><Relationship Id="rId62" Type="http://schemas.openxmlformats.org/officeDocument/2006/relationships/hyperlink" Target="http://gec.jp/jcm/projects/15pro_ban_04/" TargetMode="External"/><Relationship Id="rId83" Type="http://schemas.openxmlformats.org/officeDocument/2006/relationships/hyperlink" Target="http://gec.jp/jcm/projects/13pro_ina_02/" TargetMode="External"/><Relationship Id="rId88" Type="http://schemas.openxmlformats.org/officeDocument/2006/relationships/hyperlink" Target="http://gec.jp/jcm/projects/17pro_vie_02/" TargetMode="External"/><Relationship Id="rId111" Type="http://schemas.openxmlformats.org/officeDocument/2006/relationships/hyperlink" Target="http://gec.jp/jcm/projects/18pro_vie_01/" TargetMode="External"/><Relationship Id="rId132" Type="http://schemas.openxmlformats.org/officeDocument/2006/relationships/hyperlink" Target="http://gec.jp/jcm/projects/18pro_chi_01/" TargetMode="External"/><Relationship Id="rId153" Type="http://schemas.openxmlformats.org/officeDocument/2006/relationships/hyperlink" Target="http://gec.jp/jcm/projects/19pro_phl_01/" TargetMode="External"/><Relationship Id="rId174" Type="http://schemas.openxmlformats.org/officeDocument/2006/relationships/hyperlink" Target="https://www.jcm.go.jp/pw-jp/projects/13" TargetMode="External"/><Relationship Id="rId179" Type="http://schemas.openxmlformats.org/officeDocument/2006/relationships/hyperlink" Target="https://www.jcm.go.jp/id-jp/projects/51" TargetMode="External"/><Relationship Id="rId195" Type="http://schemas.openxmlformats.org/officeDocument/2006/relationships/hyperlink" Target="https://www.jcm.go.jp/th-jp/projects/45" TargetMode="External"/><Relationship Id="rId209" Type="http://schemas.openxmlformats.org/officeDocument/2006/relationships/hyperlink" Target="http://gec.jp/jcm/projects/19pro_vnm_05/" TargetMode="External"/><Relationship Id="rId190" Type="http://schemas.openxmlformats.org/officeDocument/2006/relationships/hyperlink" Target="https://www.jcm.go.jp/sa-jp/projects/41" TargetMode="External"/><Relationship Id="rId204" Type="http://schemas.openxmlformats.org/officeDocument/2006/relationships/hyperlink" Target="http://gec.jp/jcm/projects/19pro_vnm_04/" TargetMode="External"/><Relationship Id="rId220" Type="http://schemas.openxmlformats.org/officeDocument/2006/relationships/hyperlink" Target="https://www.nedo.go.jp/content/100541340.pdf" TargetMode="External"/><Relationship Id="rId225" Type="http://schemas.openxmlformats.org/officeDocument/2006/relationships/hyperlink" Target="https://www.jcm.go.jp/th-jp/projects/68" TargetMode="External"/><Relationship Id="rId241" Type="http://schemas.openxmlformats.org/officeDocument/2006/relationships/hyperlink" Target="http://gec.jp/jcm/projects/20pro_sau_01/" TargetMode="External"/><Relationship Id="rId15" Type="http://schemas.openxmlformats.org/officeDocument/2006/relationships/hyperlink" Target="http://gec.jp/jcm/projects/15pro_ban_01" TargetMode="External"/><Relationship Id="rId36" Type="http://schemas.openxmlformats.org/officeDocument/2006/relationships/hyperlink" Target="http://gec.jp/jcm/projects/16pro_mex_02/" TargetMode="External"/><Relationship Id="rId57" Type="http://schemas.openxmlformats.org/officeDocument/2006/relationships/hyperlink" Target="http://gec.jp/jcm/projects/16pro_tha_01/" TargetMode="External"/><Relationship Id="rId106" Type="http://schemas.openxmlformats.org/officeDocument/2006/relationships/hyperlink" Target="http://gec.jp/jcm/projects/14redd_cam_01/" TargetMode="External"/><Relationship Id="rId127" Type="http://schemas.openxmlformats.org/officeDocument/2006/relationships/hyperlink" Target="http://gec.jp/jcm/projects/18pro_lao_01/" TargetMode="External"/><Relationship Id="rId10" Type="http://schemas.openxmlformats.org/officeDocument/2006/relationships/hyperlink" Target="http://gec.jp/jcm/projects/14pro_plw_02/" TargetMode="External"/><Relationship Id="rId31" Type="http://schemas.openxmlformats.org/officeDocument/2006/relationships/hyperlink" Target="http://gec.jp/jcm/projects/16pro_chi_01/" TargetMode="External"/><Relationship Id="rId52" Type="http://schemas.openxmlformats.org/officeDocument/2006/relationships/hyperlink" Target="http://gec.jp/jcm/projects/16pro_ina_02/" TargetMode="External"/><Relationship Id="rId73" Type="http://schemas.openxmlformats.org/officeDocument/2006/relationships/hyperlink" Target="http://gec.jp/jcm/projects/15pro_vie_05/" TargetMode="External"/><Relationship Id="rId78" Type="http://schemas.openxmlformats.org/officeDocument/2006/relationships/hyperlink" Target="http://gec.jp/jcm/projects/introduction-of-12mw-power-generation-system-by-waste-heat-recovery-for-cement-plant/" TargetMode="External"/><Relationship Id="rId94" Type="http://schemas.openxmlformats.org/officeDocument/2006/relationships/hyperlink" Target="http://gec.jp/jcm/projects/17pro_mex_01/" TargetMode="External"/><Relationship Id="rId99" Type="http://schemas.openxmlformats.org/officeDocument/2006/relationships/hyperlink" Target="http://gec.jp/jcm/projects/17pro_phl_03/" TargetMode="External"/><Relationship Id="rId101" Type="http://schemas.openxmlformats.org/officeDocument/2006/relationships/hyperlink" Target="https://www.adb.org/sites/default/files/project-documents/48158/48158-002-pp-en.pdf" TargetMode="External"/><Relationship Id="rId122" Type="http://schemas.openxmlformats.org/officeDocument/2006/relationships/hyperlink" Target="https://www.adb.org/news/adbs-new-power-transmission-project-supports-electricity-all-bangladesh" TargetMode="External"/><Relationship Id="rId143" Type="http://schemas.openxmlformats.org/officeDocument/2006/relationships/hyperlink" Target="https://www.jcm.go.jp/vn-jp/projects/8" TargetMode="External"/><Relationship Id="rId148" Type="http://schemas.openxmlformats.org/officeDocument/2006/relationships/hyperlink" Target="https://www.jcm.go.jp/id-jp/projects/32" TargetMode="External"/><Relationship Id="rId164" Type="http://schemas.openxmlformats.org/officeDocument/2006/relationships/hyperlink" Target="https://www.jcm.go.jp/vn-jp/projects/55" TargetMode="External"/><Relationship Id="rId169" Type="http://schemas.openxmlformats.org/officeDocument/2006/relationships/hyperlink" Target="https://www.jcm.go.jp/vn-jp/projects/59" TargetMode="External"/><Relationship Id="rId185" Type="http://schemas.openxmlformats.org/officeDocument/2006/relationships/hyperlink" Target="https://www.jcm.go.jp/id-jp/projects/10" TargetMode="External"/><Relationship Id="rId4" Type="http://schemas.openxmlformats.org/officeDocument/2006/relationships/hyperlink" Target="http://gec.jp/jcm/projects/14pro_ina_03/" TargetMode="External"/><Relationship Id="rId9" Type="http://schemas.openxmlformats.org/officeDocument/2006/relationships/hyperlink" Target="http://gec.jp/jcm/projects/14pro_vie_03" TargetMode="External"/><Relationship Id="rId180" Type="http://schemas.openxmlformats.org/officeDocument/2006/relationships/hyperlink" Target="https://www.jcm.go.jp/id-jp/projects/36" TargetMode="External"/><Relationship Id="rId210" Type="http://schemas.openxmlformats.org/officeDocument/2006/relationships/hyperlink" Target="http://gec.jp/jcm/projects/19pro_vnm_04/" TargetMode="External"/><Relationship Id="rId215" Type="http://schemas.openxmlformats.org/officeDocument/2006/relationships/hyperlink" Target="http://gec.jp/jcm/projects/19pro_chl_02/" TargetMode="External"/><Relationship Id="rId236" Type="http://schemas.openxmlformats.org/officeDocument/2006/relationships/hyperlink" Target="http://gec.jp/jcm/projects/20pro_vnm_03/" TargetMode="External"/><Relationship Id="rId26" Type="http://schemas.openxmlformats.org/officeDocument/2006/relationships/hyperlink" Target="http://gec.jp/jcm/projects/16redd_ina_01/" TargetMode="External"/><Relationship Id="rId231" Type="http://schemas.openxmlformats.org/officeDocument/2006/relationships/hyperlink" Target="http://gec.jp/jcm/projects/18fgas_tha_01/" TargetMode="External"/><Relationship Id="rId47" Type="http://schemas.openxmlformats.org/officeDocument/2006/relationships/hyperlink" Target="http://gec.jp/jcm/projects/16pro_crc_01/" TargetMode="External"/><Relationship Id="rId68" Type="http://schemas.openxmlformats.org/officeDocument/2006/relationships/hyperlink" Target="http://gec.jp/jcm/projects/15pro_mgl_02/" TargetMode="External"/><Relationship Id="rId89" Type="http://schemas.openxmlformats.org/officeDocument/2006/relationships/hyperlink" Target="http://gec.jp/jcm/projects/17pro_vie_03/" TargetMode="External"/><Relationship Id="rId112" Type="http://schemas.openxmlformats.org/officeDocument/2006/relationships/hyperlink" Target="http://gec.jp/jcm/projects/18pro_ina_02/" TargetMode="External"/><Relationship Id="rId133" Type="http://schemas.openxmlformats.org/officeDocument/2006/relationships/hyperlink" Target="http://gec.jp/jcm/projects/18pro_mya_02/" TargetMode="External"/><Relationship Id="rId154" Type="http://schemas.openxmlformats.org/officeDocument/2006/relationships/hyperlink" Target="http://gec.jp/jcm/projects/19pro_phl_03/" TargetMode="External"/><Relationship Id="rId175" Type="http://schemas.openxmlformats.org/officeDocument/2006/relationships/hyperlink" Target="https://www.jcm.go.jp/pw-jp/projects/14" TargetMode="External"/><Relationship Id="rId196" Type="http://schemas.openxmlformats.org/officeDocument/2006/relationships/hyperlink" Target="https://www.jcm.go.jp/th-jp/projects/43" TargetMode="External"/><Relationship Id="rId200" Type="http://schemas.openxmlformats.org/officeDocument/2006/relationships/hyperlink" Target="https://www.jcm.go.jp/id-jp/projects/63" TargetMode="External"/><Relationship Id="rId16" Type="http://schemas.openxmlformats.org/officeDocument/2006/relationships/hyperlink" Target="http://gec.jp/jcm/projects/15pro_ban_02" TargetMode="External"/><Relationship Id="rId221" Type="http://schemas.openxmlformats.org/officeDocument/2006/relationships/hyperlink" Target="https://www.jcm.go.jp/cr-jp/projects/49" TargetMode="External"/><Relationship Id="rId242" Type="http://schemas.openxmlformats.org/officeDocument/2006/relationships/hyperlink" Target="http://gec.jp/jcm/projects/20pro_phl_01/" TargetMode="External"/><Relationship Id="rId37" Type="http://schemas.openxmlformats.org/officeDocument/2006/relationships/hyperlink" Target="http://gec.jp/jcm/projects/16pro_tha_10/" TargetMode="External"/><Relationship Id="rId58" Type="http://schemas.openxmlformats.org/officeDocument/2006/relationships/hyperlink" Target="http://gec.jp/jcm/projects/16pro_tha_02/" TargetMode="External"/><Relationship Id="rId79" Type="http://schemas.openxmlformats.org/officeDocument/2006/relationships/hyperlink" Target="http://gec.jp/jcm/projects/13pro_ina_01/" TargetMode="External"/><Relationship Id="rId102" Type="http://schemas.openxmlformats.org/officeDocument/2006/relationships/hyperlink" Target="http://gec.jp/jcm/projects/17pro_mgl_02/" TargetMode="External"/><Relationship Id="rId123" Type="http://schemas.openxmlformats.org/officeDocument/2006/relationships/hyperlink" Target="https://www.adb.org/projects/50088-002/main" TargetMode="External"/><Relationship Id="rId144" Type="http://schemas.openxmlformats.org/officeDocument/2006/relationships/hyperlink" Target="https://www.jcm.go.jp/vn-jp/projects/12" TargetMode="External"/><Relationship Id="rId90" Type="http://schemas.openxmlformats.org/officeDocument/2006/relationships/hyperlink" Target="http://gec.jp/jcm/projects/17pro_lao_02/" TargetMode="External"/><Relationship Id="rId165" Type="http://schemas.openxmlformats.org/officeDocument/2006/relationships/hyperlink" Target="https://www.jcm.go.jp/vn-jp/projects/37" TargetMode="External"/><Relationship Id="rId186" Type="http://schemas.openxmlformats.org/officeDocument/2006/relationships/hyperlink" Target="https://www.jcm.go.jp/id-jp/projects/17" TargetMode="External"/><Relationship Id="rId211" Type="http://schemas.openxmlformats.org/officeDocument/2006/relationships/hyperlink" Target="http://gec.jp/jcm/projects/19pro_idn_03/" TargetMode="External"/><Relationship Id="rId232" Type="http://schemas.openxmlformats.org/officeDocument/2006/relationships/hyperlink" Target="http://gec.jp/jcm/projects/18fgas_vie_01/" TargetMode="External"/><Relationship Id="rId27" Type="http://schemas.openxmlformats.org/officeDocument/2006/relationships/hyperlink" Target="http://gec.jp/jcm/projects/16pro_tha_14/" TargetMode="External"/><Relationship Id="rId48" Type="http://schemas.openxmlformats.org/officeDocument/2006/relationships/hyperlink" Target="http://gec.jp/jcm/projects/16pro_crc_02/" TargetMode="External"/><Relationship Id="rId69" Type="http://schemas.openxmlformats.org/officeDocument/2006/relationships/hyperlink" Target="http://gec.jp/jcm/projects/15pro_sau_01/" TargetMode="External"/><Relationship Id="rId113" Type="http://schemas.openxmlformats.org/officeDocument/2006/relationships/hyperlink" Target="http://gec.jp/jcm/projects/18pro_ina_03/" TargetMode="External"/><Relationship Id="rId134" Type="http://schemas.openxmlformats.org/officeDocument/2006/relationships/hyperlink" Target="http://gec.jp/jcm/projects/18pro_mex_02/" TargetMode="External"/><Relationship Id="rId80" Type="http://schemas.openxmlformats.org/officeDocument/2006/relationships/hyperlink" Target="http://gec.jp/jcm/projects/13pro_mgl_01/" TargetMode="External"/><Relationship Id="rId155" Type="http://schemas.openxmlformats.org/officeDocument/2006/relationships/hyperlink" Target="http://gec.jp/jcm/projects/19pro_mex_01/" TargetMode="External"/><Relationship Id="rId176" Type="http://schemas.openxmlformats.org/officeDocument/2006/relationships/hyperlink" Target="https://www.jcm.go.jp/id-jp/projects/50" TargetMode="External"/><Relationship Id="rId197" Type="http://schemas.openxmlformats.org/officeDocument/2006/relationships/hyperlink" Target="https://www.jcm.go.jp/th-jp/projects/44"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B86"/>
  <sheetViews>
    <sheetView showGridLines="0" tabSelected="1" zoomScale="70" zoomScaleNormal="70" workbookViewId="0">
      <selection sqref="A1:B1"/>
    </sheetView>
  </sheetViews>
  <sheetFormatPr defaultRowHeight="18.75" x14ac:dyDescent="0.4"/>
  <cols>
    <col min="1" max="1" width="126" customWidth="1"/>
    <col min="2" max="2" width="137.875" customWidth="1"/>
  </cols>
  <sheetData>
    <row r="1" spans="1:2" ht="45" x14ac:dyDescent="0.4">
      <c r="A1" s="584" t="s">
        <v>0</v>
      </c>
      <c r="B1" s="585"/>
    </row>
    <row r="2" spans="1:2" ht="71.25" customHeight="1" x14ac:dyDescent="0.4">
      <c r="A2" s="586" t="s">
        <v>1</v>
      </c>
      <c r="B2" s="587"/>
    </row>
    <row r="3" spans="1:2" x14ac:dyDescent="0.25">
      <c r="A3" s="1" t="s">
        <v>86</v>
      </c>
      <c r="B3" s="2"/>
    </row>
    <row r="4" spans="1:2" ht="50.1" customHeight="1" x14ac:dyDescent="0.4">
      <c r="A4" s="588" t="s">
        <v>2486</v>
      </c>
      <c r="B4" s="589"/>
    </row>
    <row r="5" spans="1:2" x14ac:dyDescent="0.25">
      <c r="A5" s="1" t="s">
        <v>87</v>
      </c>
      <c r="B5" s="2"/>
    </row>
    <row r="6" spans="1:2" ht="50.1" customHeight="1" x14ac:dyDescent="0.4">
      <c r="A6" s="588" t="s">
        <v>88</v>
      </c>
      <c r="B6" s="589"/>
    </row>
    <row r="7" spans="1:2" x14ac:dyDescent="0.25">
      <c r="A7" s="1" t="s">
        <v>2</v>
      </c>
      <c r="B7" s="2"/>
    </row>
    <row r="8" spans="1:2" x14ac:dyDescent="0.25">
      <c r="A8" s="3" t="s">
        <v>2489</v>
      </c>
      <c r="B8" s="4"/>
    </row>
    <row r="9" spans="1:2" x14ac:dyDescent="0.4">
      <c r="A9" s="582" t="s">
        <v>2487</v>
      </c>
      <c r="B9" s="583"/>
    </row>
    <row r="10" spans="1:2" x14ac:dyDescent="0.4">
      <c r="A10" s="582"/>
      <c r="B10" s="583"/>
    </row>
    <row r="11" spans="1:2" x14ac:dyDescent="0.25">
      <c r="A11" s="1" t="s">
        <v>3</v>
      </c>
      <c r="B11" s="5"/>
    </row>
    <row r="12" spans="1:2" x14ac:dyDescent="0.25">
      <c r="A12" s="6" t="s">
        <v>89</v>
      </c>
      <c r="B12" s="7"/>
    </row>
    <row r="13" spans="1:2" x14ac:dyDescent="0.25">
      <c r="A13" s="6" t="s">
        <v>90</v>
      </c>
      <c r="B13" s="7"/>
    </row>
    <row r="14" spans="1:2" x14ac:dyDescent="0.25">
      <c r="A14" s="6" t="s">
        <v>91</v>
      </c>
      <c r="B14" s="7"/>
    </row>
    <row r="15" spans="1:2" x14ac:dyDescent="0.25">
      <c r="A15" s="6" t="s">
        <v>92</v>
      </c>
      <c r="B15" s="7"/>
    </row>
    <row r="16" spans="1:2" x14ac:dyDescent="0.25">
      <c r="A16" s="6" t="s">
        <v>93</v>
      </c>
      <c r="B16" s="7"/>
    </row>
    <row r="17" spans="1:2" x14ac:dyDescent="0.25">
      <c r="A17" s="6" t="s">
        <v>94</v>
      </c>
      <c r="B17" s="7"/>
    </row>
    <row r="18" spans="1:2" x14ac:dyDescent="0.25">
      <c r="A18" s="6" t="s">
        <v>2488</v>
      </c>
      <c r="B18" s="7"/>
    </row>
    <row r="19" spans="1:2" x14ac:dyDescent="0.25">
      <c r="A19" s="6"/>
      <c r="B19" s="7"/>
    </row>
    <row r="20" spans="1:2" x14ac:dyDescent="0.25">
      <c r="A20" s="1" t="s">
        <v>4</v>
      </c>
      <c r="B20" s="5"/>
    </row>
    <row r="21" spans="1:2" x14ac:dyDescent="0.25">
      <c r="A21" s="6" t="s">
        <v>5</v>
      </c>
      <c r="B21" s="7"/>
    </row>
    <row r="22" spans="1:2" x14ac:dyDescent="0.25">
      <c r="A22" s="6" t="s">
        <v>6</v>
      </c>
      <c r="B22" s="7"/>
    </row>
    <row r="23" spans="1:2" x14ac:dyDescent="0.25">
      <c r="A23" s="6" t="s">
        <v>7</v>
      </c>
      <c r="B23" s="7"/>
    </row>
    <row r="24" spans="1:2" x14ac:dyDescent="0.25">
      <c r="A24" s="6" t="s">
        <v>8</v>
      </c>
      <c r="B24" s="7"/>
    </row>
    <row r="25" spans="1:2" x14ac:dyDescent="0.25">
      <c r="A25" s="6" t="s">
        <v>9</v>
      </c>
      <c r="B25" s="7"/>
    </row>
    <row r="26" spans="1:2" x14ac:dyDescent="0.25">
      <c r="A26" s="6" t="s">
        <v>10</v>
      </c>
      <c r="B26" s="7"/>
    </row>
    <row r="27" spans="1:2" x14ac:dyDescent="0.25">
      <c r="A27" s="6" t="s">
        <v>11</v>
      </c>
      <c r="B27" s="7"/>
    </row>
    <row r="28" spans="1:2" x14ac:dyDescent="0.25">
      <c r="A28" s="6"/>
      <c r="B28" s="7"/>
    </row>
    <row r="29" spans="1:2" x14ac:dyDescent="0.25">
      <c r="A29" s="1" t="s">
        <v>95</v>
      </c>
      <c r="B29" s="5"/>
    </row>
    <row r="30" spans="1:2" x14ac:dyDescent="0.4">
      <c r="A30" s="8" t="s">
        <v>12</v>
      </c>
      <c r="B30" s="9" t="s">
        <v>13</v>
      </c>
    </row>
    <row r="31" spans="1:2" x14ac:dyDescent="0.4">
      <c r="A31" s="10" t="s">
        <v>14</v>
      </c>
      <c r="B31" s="11" t="s">
        <v>15</v>
      </c>
    </row>
    <row r="32" spans="1:2" x14ac:dyDescent="0.4">
      <c r="A32" s="12" t="s">
        <v>16</v>
      </c>
      <c r="B32" s="13" t="s">
        <v>17</v>
      </c>
    </row>
    <row r="33" spans="1:2" x14ac:dyDescent="0.25">
      <c r="A33" s="14"/>
      <c r="B33" s="15" t="s">
        <v>18</v>
      </c>
    </row>
    <row r="34" spans="1:2" x14ac:dyDescent="0.4">
      <c r="A34" s="10" t="s">
        <v>19</v>
      </c>
      <c r="B34" s="15" t="s">
        <v>20</v>
      </c>
    </row>
    <row r="35" spans="1:2" x14ac:dyDescent="0.4">
      <c r="A35" s="16" t="s">
        <v>21</v>
      </c>
      <c r="B35" s="15"/>
    </row>
    <row r="36" spans="1:2" x14ac:dyDescent="0.25">
      <c r="A36" s="17"/>
      <c r="B36" s="18" t="s">
        <v>22</v>
      </c>
    </row>
    <row r="37" spans="1:2" x14ac:dyDescent="0.4">
      <c r="A37" s="10" t="s">
        <v>23</v>
      </c>
      <c r="B37" s="19" t="s">
        <v>24</v>
      </c>
    </row>
    <row r="38" spans="1:2" x14ac:dyDescent="0.4">
      <c r="A38" s="16" t="s">
        <v>25</v>
      </c>
      <c r="B38" s="19"/>
    </row>
    <row r="39" spans="1:2" x14ac:dyDescent="0.25">
      <c r="A39" s="17"/>
      <c r="B39" s="20" t="s">
        <v>26</v>
      </c>
    </row>
    <row r="40" spans="1:2" x14ac:dyDescent="0.4">
      <c r="A40" s="10" t="s">
        <v>27</v>
      </c>
      <c r="B40" s="21" t="s">
        <v>28</v>
      </c>
    </row>
    <row r="41" spans="1:2" x14ac:dyDescent="0.25">
      <c r="A41" s="22" t="s">
        <v>29</v>
      </c>
      <c r="B41" s="21"/>
    </row>
    <row r="42" spans="1:2" x14ac:dyDescent="0.2">
      <c r="A42" s="17"/>
      <c r="B42" s="23"/>
    </row>
    <row r="43" spans="1:2" x14ac:dyDescent="0.25">
      <c r="A43" s="24" t="s">
        <v>30</v>
      </c>
      <c r="B43" s="11" t="s">
        <v>31</v>
      </c>
    </row>
    <row r="44" spans="1:2" ht="36" x14ac:dyDescent="0.4">
      <c r="A44" s="25" t="s">
        <v>32</v>
      </c>
      <c r="B44" s="21" t="s">
        <v>33</v>
      </c>
    </row>
    <row r="45" spans="1:2" x14ac:dyDescent="0.2">
      <c r="A45" s="17"/>
      <c r="B45" s="21"/>
    </row>
    <row r="46" spans="1:2" x14ac:dyDescent="0.4">
      <c r="A46" s="26" t="s">
        <v>34</v>
      </c>
      <c r="B46" s="27" t="s">
        <v>35</v>
      </c>
    </row>
    <row r="47" spans="1:2" x14ac:dyDescent="0.4">
      <c r="A47" s="28" t="s">
        <v>36</v>
      </c>
      <c r="B47" s="21" t="s">
        <v>37</v>
      </c>
    </row>
    <row r="48" spans="1:2" x14ac:dyDescent="0.25">
      <c r="A48" s="14"/>
      <c r="B48" s="23"/>
    </row>
    <row r="49" spans="1:2" x14ac:dyDescent="0.4">
      <c r="A49" s="10" t="s">
        <v>38</v>
      </c>
      <c r="B49" s="29" t="s">
        <v>39</v>
      </c>
    </row>
    <row r="50" spans="1:2" ht="36" x14ac:dyDescent="0.4">
      <c r="A50" s="25" t="s">
        <v>40</v>
      </c>
      <c r="B50" s="21" t="s">
        <v>41</v>
      </c>
    </row>
    <row r="51" spans="1:2" x14ac:dyDescent="0.2">
      <c r="A51" s="10" t="s">
        <v>42</v>
      </c>
      <c r="B51" s="23"/>
    </row>
    <row r="52" spans="1:2" ht="36" x14ac:dyDescent="0.4">
      <c r="A52" s="25" t="s">
        <v>43</v>
      </c>
      <c r="B52" s="30" t="s">
        <v>44</v>
      </c>
    </row>
    <row r="53" spans="1:2" x14ac:dyDescent="0.2">
      <c r="A53" s="17"/>
      <c r="B53" s="31"/>
    </row>
    <row r="54" spans="1:2" x14ac:dyDescent="0.25">
      <c r="A54" s="10" t="s">
        <v>45</v>
      </c>
      <c r="B54" s="20" t="s">
        <v>46</v>
      </c>
    </row>
    <row r="55" spans="1:2" ht="36" x14ac:dyDescent="0.4">
      <c r="A55" s="25" t="s">
        <v>47</v>
      </c>
      <c r="B55" s="21" t="s">
        <v>48</v>
      </c>
    </row>
    <row r="56" spans="1:2" x14ac:dyDescent="0.25">
      <c r="A56" s="10" t="s">
        <v>49</v>
      </c>
      <c r="B56" s="32" t="s">
        <v>50</v>
      </c>
    </row>
    <row r="57" spans="1:2" ht="54" x14ac:dyDescent="0.4">
      <c r="A57" s="25" t="s">
        <v>51</v>
      </c>
      <c r="B57" s="21" t="s">
        <v>52</v>
      </c>
    </row>
    <row r="58" spans="1:2" ht="36" x14ac:dyDescent="0.25">
      <c r="A58" s="22" t="s">
        <v>96</v>
      </c>
      <c r="B58" s="23"/>
    </row>
    <row r="59" spans="1:2" ht="38.25" x14ac:dyDescent="0.25">
      <c r="A59" s="22" t="s">
        <v>53</v>
      </c>
      <c r="B59" s="30" t="s">
        <v>54</v>
      </c>
    </row>
    <row r="60" spans="1:2" ht="20.25" x14ac:dyDescent="0.35">
      <c r="A60" s="33" t="s">
        <v>55</v>
      </c>
      <c r="B60" s="34"/>
    </row>
    <row r="61" spans="1:2" ht="20.25" x14ac:dyDescent="0.35">
      <c r="A61" s="33" t="s">
        <v>56</v>
      </c>
      <c r="B61" s="35" t="s">
        <v>57</v>
      </c>
    </row>
    <row r="62" spans="1:2" ht="36" x14ac:dyDescent="0.4">
      <c r="A62" s="28" t="s">
        <v>58</v>
      </c>
      <c r="B62" s="21" t="s">
        <v>59</v>
      </c>
    </row>
    <row r="63" spans="1:2" x14ac:dyDescent="0.2">
      <c r="A63" s="10" t="s">
        <v>60</v>
      </c>
      <c r="B63" s="23"/>
    </row>
    <row r="64" spans="1:2" ht="36" x14ac:dyDescent="0.25">
      <c r="A64" s="25" t="s">
        <v>61</v>
      </c>
      <c r="B64" s="20" t="s">
        <v>62</v>
      </c>
    </row>
    <row r="65" spans="1:2" ht="36" x14ac:dyDescent="0.35">
      <c r="A65" s="22" t="s">
        <v>63</v>
      </c>
      <c r="B65" s="36" t="s">
        <v>64</v>
      </c>
    </row>
    <row r="66" spans="1:2" ht="20.25" x14ac:dyDescent="0.35">
      <c r="A66" s="22" t="s">
        <v>65</v>
      </c>
      <c r="B66" s="23"/>
    </row>
    <row r="67" spans="1:2" ht="20.25" x14ac:dyDescent="0.35">
      <c r="A67" s="22" t="s">
        <v>66</v>
      </c>
      <c r="B67" s="37" t="s">
        <v>30</v>
      </c>
    </row>
    <row r="68" spans="1:2" ht="36" x14ac:dyDescent="0.35">
      <c r="A68" s="22" t="s">
        <v>67</v>
      </c>
      <c r="B68" s="38" t="s">
        <v>32</v>
      </c>
    </row>
    <row r="69" spans="1:2" ht="20.25" x14ac:dyDescent="0.35">
      <c r="A69" s="22" t="s">
        <v>68</v>
      </c>
      <c r="B69" s="39"/>
    </row>
    <row r="70" spans="1:2" ht="20.25" x14ac:dyDescent="0.35">
      <c r="A70" s="22" t="s">
        <v>69</v>
      </c>
      <c r="B70" s="30" t="s">
        <v>70</v>
      </c>
    </row>
    <row r="71" spans="1:2" ht="36" x14ac:dyDescent="0.25">
      <c r="A71" s="40" t="s">
        <v>71</v>
      </c>
      <c r="B71" s="41" t="s">
        <v>72</v>
      </c>
    </row>
    <row r="72" spans="1:2" ht="36" x14ac:dyDescent="0.2">
      <c r="A72" s="28" t="s">
        <v>73</v>
      </c>
      <c r="B72" s="23"/>
    </row>
    <row r="73" spans="1:2" x14ac:dyDescent="0.2">
      <c r="A73" s="17"/>
      <c r="B73" s="30" t="s">
        <v>74</v>
      </c>
    </row>
    <row r="74" spans="1:2" x14ac:dyDescent="0.4">
      <c r="A74" s="10" t="s">
        <v>75</v>
      </c>
      <c r="B74" s="41" t="s">
        <v>76</v>
      </c>
    </row>
    <row r="75" spans="1:2" ht="36" x14ac:dyDescent="0.25">
      <c r="A75" s="25" t="s">
        <v>77</v>
      </c>
      <c r="B75" s="42" t="s">
        <v>78</v>
      </c>
    </row>
    <row r="76" spans="1:2" x14ac:dyDescent="0.2">
      <c r="A76" s="17"/>
      <c r="B76" s="41" t="s">
        <v>79</v>
      </c>
    </row>
    <row r="77" spans="1:2" x14ac:dyDescent="0.2">
      <c r="A77" s="10" t="s">
        <v>80</v>
      </c>
      <c r="B77" s="23"/>
    </row>
    <row r="78" spans="1:2" ht="36" x14ac:dyDescent="0.25">
      <c r="A78" s="25" t="s">
        <v>81</v>
      </c>
      <c r="B78" s="20" t="s">
        <v>82</v>
      </c>
    </row>
    <row r="79" spans="1:2" x14ac:dyDescent="0.2">
      <c r="A79" s="17"/>
      <c r="B79" s="21" t="s">
        <v>83</v>
      </c>
    </row>
    <row r="80" spans="1:2" x14ac:dyDescent="0.2">
      <c r="A80" s="17"/>
      <c r="B80" s="21"/>
    </row>
    <row r="81" spans="1:2" x14ac:dyDescent="0.25">
      <c r="A81" s="17"/>
      <c r="B81" s="43" t="s">
        <v>84</v>
      </c>
    </row>
    <row r="82" spans="1:2" ht="36" x14ac:dyDescent="0.2">
      <c r="A82" s="17"/>
      <c r="B82" s="21" t="s">
        <v>85</v>
      </c>
    </row>
    <row r="83" spans="1:2" x14ac:dyDescent="0.2">
      <c r="A83" s="44"/>
      <c r="B83" s="45"/>
    </row>
    <row r="84" spans="1:2" x14ac:dyDescent="0.2">
      <c r="A84" s="6" t="s">
        <v>97</v>
      </c>
      <c r="B84" s="45"/>
    </row>
    <row r="85" spans="1:2" x14ac:dyDescent="0.2">
      <c r="A85" s="6" t="s">
        <v>98</v>
      </c>
      <c r="B85" s="45"/>
    </row>
    <row r="86" spans="1:2" x14ac:dyDescent="0.25">
      <c r="A86" s="46"/>
      <c r="B86" s="47"/>
    </row>
  </sheetData>
  <mergeCells count="6">
    <mergeCell ref="A10:B10"/>
    <mergeCell ref="A1:B1"/>
    <mergeCell ref="A2:B2"/>
    <mergeCell ref="A4:B4"/>
    <mergeCell ref="A6:B6"/>
    <mergeCell ref="A9:B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BA86"/>
  <sheetViews>
    <sheetView showGridLines="0" zoomScale="70" zoomScaleNormal="70" zoomScaleSheetLayoutView="10" workbookViewId="0">
      <pane xSplit="1" ySplit="4" topLeftCell="B5" activePane="bottomRight" state="frozen"/>
      <selection pane="topRight" activeCell="B1" sqref="B1"/>
      <selection pane="bottomLeft" activeCell="A5" sqref="A5"/>
      <selection pane="bottomRight"/>
    </sheetView>
  </sheetViews>
  <sheetFormatPr defaultRowHeight="18.75" x14ac:dyDescent="0.4"/>
  <cols>
    <col min="1" max="1" width="12.625" customWidth="1"/>
    <col min="2" max="2" width="55.375" customWidth="1"/>
    <col min="3" max="3" width="9.875" bestFit="1" customWidth="1"/>
    <col min="4" max="4" width="14.5" customWidth="1"/>
    <col min="5" max="5" width="19.875" customWidth="1"/>
    <col min="6" max="6" width="14.625" customWidth="1"/>
    <col min="7" max="7" width="17.875" customWidth="1"/>
    <col min="8" max="8" width="13.625" customWidth="1"/>
    <col min="9" max="9" width="22.625" customWidth="1"/>
    <col min="10" max="10" width="12.5" hidden="1" customWidth="1"/>
    <col min="11" max="12" width="13.5" customWidth="1"/>
    <col min="13" max="13" width="12.5" style="548" customWidth="1"/>
    <col min="14" max="14" width="12.5" customWidth="1"/>
    <col min="15" max="15" width="13.875" customWidth="1"/>
    <col min="16" max="16" width="15.875" customWidth="1"/>
    <col min="17" max="18" width="17.125" hidden="1" customWidth="1"/>
    <col min="19" max="19" width="16.625" hidden="1" customWidth="1"/>
    <col min="20" max="20" width="16.125" hidden="1" customWidth="1"/>
    <col min="21" max="21" width="21.125" customWidth="1"/>
    <col min="22" max="22" width="14.125" customWidth="1"/>
    <col min="23" max="23" width="12.625" customWidth="1"/>
    <col min="24" max="24" width="13" customWidth="1"/>
    <col min="25" max="26" width="17.125" customWidth="1"/>
    <col min="27" max="27" width="5.125" customWidth="1"/>
    <col min="28" max="28" width="91.5" customWidth="1"/>
    <col min="29" max="29" width="5.625" customWidth="1"/>
    <col min="30" max="30" width="71.5" customWidth="1"/>
    <col min="31" max="31" width="11" customWidth="1"/>
    <col min="32" max="32" width="15.875" hidden="1" customWidth="1"/>
    <col min="33" max="33" width="37.125" hidden="1" customWidth="1"/>
    <col min="34" max="34" width="19" hidden="1" customWidth="1"/>
    <col min="35" max="35" width="19.5" customWidth="1"/>
    <col min="36" max="36" width="19" customWidth="1"/>
    <col min="37" max="37" width="32.375" customWidth="1"/>
    <col min="38" max="39" width="54.375" customWidth="1"/>
    <col min="40" max="40" width="17.5" customWidth="1"/>
    <col min="41" max="42" width="17.125" customWidth="1"/>
    <col min="43" max="45" width="9.125" hidden="1" customWidth="1"/>
    <col min="46" max="46" width="20.75" bestFit="1" customWidth="1"/>
    <col min="47" max="47" width="13.75" bestFit="1" customWidth="1"/>
    <col min="48" max="48" width="44.625" bestFit="1" customWidth="1"/>
    <col min="49" max="49" width="56.5" bestFit="1" customWidth="1"/>
    <col min="50" max="50" width="17.625" bestFit="1" customWidth="1"/>
    <col min="51" max="51" width="12.875" bestFit="1" customWidth="1"/>
    <col min="52" max="52" width="9.125"/>
    <col min="53" max="53" width="14.25" bestFit="1" customWidth="1"/>
  </cols>
  <sheetData>
    <row r="1" spans="1:53" ht="26.25" x14ac:dyDescent="0.4">
      <c r="A1" s="48" t="s">
        <v>99</v>
      </c>
      <c r="B1" s="49"/>
      <c r="C1" s="49"/>
      <c r="D1" s="50"/>
      <c r="E1" s="50"/>
      <c r="F1" s="50"/>
      <c r="G1" s="50"/>
      <c r="H1" s="50"/>
      <c r="I1" s="50"/>
      <c r="J1" s="50"/>
      <c r="K1" s="50"/>
      <c r="L1" s="50"/>
      <c r="M1" s="537"/>
      <c r="N1" s="50"/>
      <c r="O1" s="50"/>
      <c r="P1" s="50"/>
      <c r="Q1" s="50"/>
      <c r="R1" s="50"/>
      <c r="S1" s="50"/>
      <c r="T1" s="50"/>
      <c r="U1" s="50"/>
      <c r="V1" s="50"/>
      <c r="W1" s="50"/>
      <c r="X1" s="50"/>
      <c r="Y1" s="50"/>
      <c r="Z1" s="50"/>
      <c r="AA1" s="50"/>
      <c r="AB1" s="50"/>
      <c r="AC1" s="50"/>
      <c r="AD1" s="50"/>
      <c r="AE1" s="50"/>
      <c r="AF1" s="50"/>
      <c r="AG1" s="50"/>
      <c r="AH1" s="50"/>
      <c r="AI1" s="51"/>
      <c r="AJ1" s="50"/>
      <c r="AK1" s="50"/>
      <c r="AL1" s="50"/>
      <c r="AM1" s="50"/>
      <c r="AN1" s="51"/>
      <c r="AO1" s="50"/>
      <c r="AP1" s="52"/>
      <c r="AQ1" s="50"/>
      <c r="AR1" s="50"/>
      <c r="AS1" s="50"/>
      <c r="AT1" s="51"/>
      <c r="AU1" s="50"/>
      <c r="AV1" s="50"/>
      <c r="AW1" s="50"/>
      <c r="AX1" s="50"/>
      <c r="AY1" s="51"/>
      <c r="AZ1" s="50"/>
      <c r="BA1" s="52"/>
    </row>
    <row r="2" spans="1:53" ht="20.25" x14ac:dyDescent="0.4">
      <c r="A2" s="53" t="s">
        <v>2442</v>
      </c>
      <c r="B2" s="54"/>
      <c r="C2" s="54"/>
      <c r="D2" s="55"/>
      <c r="E2" s="55"/>
      <c r="F2" s="55"/>
      <c r="G2" s="55"/>
      <c r="H2" s="56"/>
      <c r="I2" s="56"/>
      <c r="J2" s="56"/>
      <c r="K2" s="55"/>
      <c r="L2" s="55"/>
      <c r="M2" s="538"/>
      <c r="N2" s="55"/>
      <c r="O2" s="57"/>
      <c r="P2" s="57"/>
      <c r="Q2" s="58"/>
      <c r="R2" s="58"/>
      <c r="S2" s="56"/>
      <c r="T2" s="56"/>
      <c r="U2" s="55"/>
      <c r="V2" s="55"/>
      <c r="W2" s="55"/>
      <c r="X2" s="55"/>
      <c r="Y2" s="56"/>
      <c r="Z2" s="56"/>
      <c r="AA2" s="56"/>
      <c r="AB2" s="56"/>
      <c r="AC2" s="56"/>
      <c r="AD2" s="56"/>
      <c r="AE2" s="56"/>
      <c r="AF2" s="56"/>
      <c r="AG2" s="56"/>
      <c r="AH2" s="56"/>
      <c r="AI2" s="58"/>
      <c r="AJ2" s="56"/>
      <c r="AK2" s="56"/>
      <c r="AL2" s="56"/>
      <c r="AM2" s="56"/>
      <c r="AN2" s="58"/>
      <c r="AO2" s="56"/>
      <c r="AP2" s="59"/>
      <c r="AQ2" s="56"/>
      <c r="AR2" s="56"/>
      <c r="AS2" s="56"/>
      <c r="AT2" s="58"/>
      <c r="AU2" s="56"/>
      <c r="AV2" s="56"/>
      <c r="AW2" s="56"/>
      <c r="AX2" s="56"/>
      <c r="AY2" s="58"/>
      <c r="AZ2" s="56"/>
      <c r="BA2" s="59"/>
    </row>
    <row r="3" spans="1:53" ht="31.5" x14ac:dyDescent="0.4">
      <c r="A3" s="60"/>
      <c r="B3" s="61"/>
      <c r="C3" s="61"/>
      <c r="D3" s="61"/>
      <c r="E3" s="61"/>
      <c r="F3" s="61"/>
      <c r="G3" s="61"/>
      <c r="H3" s="61"/>
      <c r="I3" s="61"/>
      <c r="J3" s="62" t="s">
        <v>100</v>
      </c>
      <c r="K3" s="590" t="s">
        <v>101</v>
      </c>
      <c r="L3" s="590"/>
      <c r="M3" s="590"/>
      <c r="N3" s="590" t="s">
        <v>34</v>
      </c>
      <c r="O3" s="590"/>
      <c r="P3" s="590"/>
      <c r="Q3" s="63"/>
      <c r="R3" s="63"/>
      <c r="S3" s="63"/>
      <c r="T3" s="63"/>
      <c r="U3" s="590" t="s">
        <v>102</v>
      </c>
      <c r="V3" s="590"/>
      <c r="W3" s="590"/>
      <c r="X3" s="590"/>
      <c r="Y3" s="591" t="s">
        <v>103</v>
      </c>
      <c r="Z3" s="592"/>
      <c r="AA3" s="64"/>
      <c r="AB3" s="65" t="s">
        <v>104</v>
      </c>
      <c r="AC3" s="64"/>
      <c r="AD3" s="66" t="s">
        <v>105</v>
      </c>
      <c r="AE3" s="61"/>
      <c r="AF3" s="67"/>
      <c r="AG3" s="68"/>
      <c r="AH3" s="68"/>
      <c r="AI3" s="68"/>
      <c r="AJ3" s="68"/>
      <c r="AK3" s="68"/>
      <c r="AL3" s="68" t="s">
        <v>106</v>
      </c>
      <c r="AM3" s="68"/>
      <c r="AN3" s="68"/>
      <c r="AO3" s="68"/>
      <c r="AP3" s="69"/>
      <c r="AQ3" s="67"/>
      <c r="AR3" s="68"/>
      <c r="AS3" s="68"/>
      <c r="AT3" s="68"/>
      <c r="AU3" s="68"/>
      <c r="AV3" s="68"/>
      <c r="AW3" s="68" t="s">
        <v>106</v>
      </c>
      <c r="AX3" s="68"/>
      <c r="AY3" s="68"/>
      <c r="AZ3" s="68"/>
      <c r="BA3" s="69"/>
    </row>
    <row r="4" spans="1:53" ht="94.5" x14ac:dyDescent="0.4">
      <c r="A4" s="70" t="s">
        <v>2151</v>
      </c>
      <c r="B4" s="76" t="s">
        <v>107</v>
      </c>
      <c r="C4" s="76" t="s">
        <v>2152</v>
      </c>
      <c r="D4" s="76" t="s">
        <v>108</v>
      </c>
      <c r="E4" s="76" t="s">
        <v>109</v>
      </c>
      <c r="F4" s="76" t="s">
        <v>2153</v>
      </c>
      <c r="G4" s="76" t="s">
        <v>110</v>
      </c>
      <c r="H4" s="76" t="s">
        <v>23</v>
      </c>
      <c r="I4" s="76" t="s">
        <v>111</v>
      </c>
      <c r="J4" s="71" t="s">
        <v>112</v>
      </c>
      <c r="K4" s="72" t="s">
        <v>113</v>
      </c>
      <c r="L4" s="72" t="s">
        <v>114</v>
      </c>
      <c r="M4" s="539" t="s">
        <v>115</v>
      </c>
      <c r="N4" s="72" t="s">
        <v>116</v>
      </c>
      <c r="O4" s="72" t="s">
        <v>112</v>
      </c>
      <c r="P4" s="72" t="s">
        <v>117</v>
      </c>
      <c r="Q4" s="73" t="s">
        <v>118</v>
      </c>
      <c r="R4" s="73" t="s">
        <v>119</v>
      </c>
      <c r="S4" s="74" t="s">
        <v>120</v>
      </c>
      <c r="T4" s="74" t="s">
        <v>121</v>
      </c>
      <c r="U4" s="72" t="s">
        <v>122</v>
      </c>
      <c r="V4" s="72" t="s">
        <v>123</v>
      </c>
      <c r="W4" s="72" t="s">
        <v>124</v>
      </c>
      <c r="X4" s="72" t="s">
        <v>125</v>
      </c>
      <c r="Y4" s="72" t="s">
        <v>126</v>
      </c>
      <c r="Z4" s="72" t="s">
        <v>127</v>
      </c>
      <c r="AA4" s="72" t="s">
        <v>128</v>
      </c>
      <c r="AB4" s="75" t="s">
        <v>129</v>
      </c>
      <c r="AC4" s="72" t="s">
        <v>128</v>
      </c>
      <c r="AD4" s="72" t="s">
        <v>130</v>
      </c>
      <c r="AE4" s="76" t="s">
        <v>131</v>
      </c>
      <c r="AF4" s="77" t="s">
        <v>132</v>
      </c>
      <c r="AG4" s="77" t="s">
        <v>133</v>
      </c>
      <c r="AH4" s="77" t="s">
        <v>134</v>
      </c>
      <c r="AI4" s="78" t="s">
        <v>135</v>
      </c>
      <c r="AJ4" s="79" t="s">
        <v>136</v>
      </c>
      <c r="AK4" s="79" t="s">
        <v>137</v>
      </c>
      <c r="AL4" s="79" t="s">
        <v>138</v>
      </c>
      <c r="AM4" s="79" t="s">
        <v>139</v>
      </c>
      <c r="AN4" s="78" t="s">
        <v>140</v>
      </c>
      <c r="AO4" s="79" t="s">
        <v>141</v>
      </c>
      <c r="AP4" s="78" t="s">
        <v>142</v>
      </c>
      <c r="AQ4" s="77" t="s">
        <v>132</v>
      </c>
      <c r="AR4" s="77" t="s">
        <v>133</v>
      </c>
      <c r="AS4" s="77" t="s">
        <v>134</v>
      </c>
      <c r="AT4" s="78" t="s">
        <v>135</v>
      </c>
      <c r="AU4" s="79" t="s">
        <v>136</v>
      </c>
      <c r="AV4" s="79" t="s">
        <v>137</v>
      </c>
      <c r="AW4" s="79" t="s">
        <v>138</v>
      </c>
      <c r="AX4" s="79" t="s">
        <v>139</v>
      </c>
      <c r="AY4" s="78" t="s">
        <v>140</v>
      </c>
      <c r="AZ4" s="79" t="s">
        <v>141</v>
      </c>
      <c r="BA4" s="78" t="s">
        <v>142</v>
      </c>
    </row>
    <row r="5" spans="1:53" ht="150" x14ac:dyDescent="0.4">
      <c r="A5" s="81" t="s">
        <v>143</v>
      </c>
      <c r="B5" s="81" t="s">
        <v>144</v>
      </c>
      <c r="C5" s="81" t="s">
        <v>2154</v>
      </c>
      <c r="D5" s="81" t="s">
        <v>145</v>
      </c>
      <c r="E5" s="82" t="s">
        <v>146</v>
      </c>
      <c r="F5" s="447" t="s">
        <v>147</v>
      </c>
      <c r="G5" s="84" t="s">
        <v>148</v>
      </c>
      <c r="H5" s="81" t="s">
        <v>149</v>
      </c>
      <c r="I5" s="81" t="s">
        <v>150</v>
      </c>
      <c r="J5" s="85">
        <v>42396</v>
      </c>
      <c r="K5" s="85">
        <v>42405</v>
      </c>
      <c r="L5" s="85">
        <v>42419</v>
      </c>
      <c r="M5" s="540">
        <v>5</v>
      </c>
      <c r="N5" s="81" t="s">
        <v>151</v>
      </c>
      <c r="O5" s="85">
        <v>42438</v>
      </c>
      <c r="P5" s="86">
        <f t="shared" ref="P5:P74" si="0">O5-J5</f>
        <v>42</v>
      </c>
      <c r="Q5" s="81">
        <f t="shared" ref="Q5:Q74" si="1">O5-K5</f>
        <v>33</v>
      </c>
      <c r="R5" s="81">
        <f t="shared" ref="R5:R74" si="2">O5-L5</f>
        <v>19</v>
      </c>
      <c r="S5" s="87" t="s">
        <v>152</v>
      </c>
      <c r="T5" s="87" t="s">
        <v>152</v>
      </c>
      <c r="U5" s="88" t="s">
        <v>2155</v>
      </c>
      <c r="V5" s="81" t="s">
        <v>153</v>
      </c>
      <c r="W5" s="89">
        <v>5</v>
      </c>
      <c r="X5" s="81" t="s">
        <v>154</v>
      </c>
      <c r="Y5" s="87" t="s">
        <v>155</v>
      </c>
      <c r="Z5" s="87" t="s">
        <v>156</v>
      </c>
      <c r="AA5" s="80">
        <v>5</v>
      </c>
      <c r="AB5" s="90" t="s">
        <v>157</v>
      </c>
      <c r="AC5" s="91">
        <v>3</v>
      </c>
      <c r="AD5" s="90" t="s">
        <v>158</v>
      </c>
      <c r="AE5" s="90" t="s">
        <v>159</v>
      </c>
      <c r="AF5" s="92"/>
      <c r="AG5" s="92"/>
      <c r="AH5" s="92"/>
      <c r="AI5" s="93">
        <v>43104</v>
      </c>
      <c r="AJ5" s="92" t="s">
        <v>160</v>
      </c>
      <c r="AK5" s="92" t="s">
        <v>161</v>
      </c>
      <c r="AL5" s="94" t="s">
        <v>162</v>
      </c>
      <c r="AM5" s="94" t="s">
        <v>163</v>
      </c>
      <c r="AN5" s="93"/>
      <c r="AO5" s="94" t="s">
        <v>152</v>
      </c>
      <c r="AP5" s="93">
        <v>43174</v>
      </c>
      <c r="AQ5" s="95"/>
      <c r="AR5" s="95"/>
      <c r="AS5" s="95"/>
      <c r="AT5" s="96"/>
      <c r="AU5" s="95"/>
      <c r="AV5" s="95"/>
      <c r="AW5" s="95"/>
      <c r="AX5" s="95"/>
      <c r="AY5" s="96"/>
      <c r="AZ5" s="95"/>
      <c r="BA5" s="96"/>
    </row>
    <row r="6" spans="1:53" ht="199.5" x14ac:dyDescent="0.4">
      <c r="A6" s="88" t="s">
        <v>164</v>
      </c>
      <c r="B6" s="88" t="s">
        <v>165</v>
      </c>
      <c r="C6" s="88" t="s">
        <v>381</v>
      </c>
      <c r="D6" s="81" t="s">
        <v>145</v>
      </c>
      <c r="E6" s="97" t="s">
        <v>234</v>
      </c>
      <c r="F6" s="83" t="s">
        <v>167</v>
      </c>
      <c r="G6" s="98" t="s">
        <v>168</v>
      </c>
      <c r="H6" s="88" t="s">
        <v>169</v>
      </c>
      <c r="I6" s="88" t="s">
        <v>170</v>
      </c>
      <c r="J6" s="99">
        <v>42719</v>
      </c>
      <c r="K6" s="99">
        <v>42753</v>
      </c>
      <c r="L6" s="99">
        <v>42767</v>
      </c>
      <c r="M6" s="541">
        <v>2</v>
      </c>
      <c r="N6" s="88" t="s">
        <v>171</v>
      </c>
      <c r="O6" s="99">
        <v>43024</v>
      </c>
      <c r="P6" s="100">
        <f t="shared" si="0"/>
        <v>305</v>
      </c>
      <c r="Q6" s="88">
        <f t="shared" si="1"/>
        <v>271</v>
      </c>
      <c r="R6" s="88">
        <f t="shared" si="2"/>
        <v>257</v>
      </c>
      <c r="S6" s="101" t="s">
        <v>152</v>
      </c>
      <c r="T6" s="101" t="s">
        <v>152</v>
      </c>
      <c r="U6" s="88" t="s">
        <v>2156</v>
      </c>
      <c r="V6" s="88" t="s">
        <v>172</v>
      </c>
      <c r="W6" s="102">
        <v>3</v>
      </c>
      <c r="X6" s="88" t="s">
        <v>154</v>
      </c>
      <c r="Y6" s="80" t="s">
        <v>155</v>
      </c>
      <c r="Z6" s="90" t="s">
        <v>173</v>
      </c>
      <c r="AA6" s="88">
        <v>1</v>
      </c>
      <c r="AB6" s="101" t="s">
        <v>174</v>
      </c>
      <c r="AC6" s="103">
        <v>1</v>
      </c>
      <c r="AD6" s="101" t="s">
        <v>175</v>
      </c>
      <c r="AE6" s="101"/>
      <c r="AF6" s="95"/>
      <c r="AG6" s="95"/>
      <c r="AH6" s="95"/>
      <c r="AI6" s="96"/>
      <c r="AJ6" s="95"/>
      <c r="AK6" s="95"/>
      <c r="AL6" s="104"/>
      <c r="AM6" s="104"/>
      <c r="AN6" s="96"/>
      <c r="AO6" s="95"/>
      <c r="AP6" s="96"/>
      <c r="AQ6" s="95"/>
      <c r="AR6" s="95"/>
      <c r="AS6" s="95"/>
      <c r="AT6" s="96"/>
      <c r="AU6" s="95"/>
      <c r="AV6" s="95"/>
      <c r="AW6" s="95"/>
      <c r="AX6" s="95"/>
      <c r="AY6" s="96"/>
      <c r="AZ6" s="95"/>
      <c r="BA6" s="96"/>
    </row>
    <row r="7" spans="1:53" ht="75" x14ac:dyDescent="0.4">
      <c r="A7" s="80" t="s">
        <v>176</v>
      </c>
      <c r="B7" s="88" t="s">
        <v>177</v>
      </c>
      <c r="C7" s="88" t="s">
        <v>2157</v>
      </c>
      <c r="D7" s="81" t="s">
        <v>145</v>
      </c>
      <c r="E7" s="97" t="s">
        <v>146</v>
      </c>
      <c r="F7" s="83" t="s">
        <v>147</v>
      </c>
      <c r="G7" s="98" t="s">
        <v>148</v>
      </c>
      <c r="H7" s="88" t="s">
        <v>178</v>
      </c>
      <c r="I7" s="88" t="s">
        <v>179</v>
      </c>
      <c r="J7" s="99">
        <v>42713</v>
      </c>
      <c r="K7" s="99">
        <v>42753</v>
      </c>
      <c r="L7" s="99">
        <v>42767</v>
      </c>
      <c r="M7" s="541" t="s">
        <v>152</v>
      </c>
      <c r="N7" s="88" t="s">
        <v>171</v>
      </c>
      <c r="O7" s="99">
        <v>43024</v>
      </c>
      <c r="P7" s="100">
        <f t="shared" si="0"/>
        <v>311</v>
      </c>
      <c r="Q7" s="88">
        <f t="shared" si="1"/>
        <v>271</v>
      </c>
      <c r="R7" s="88">
        <f t="shared" si="2"/>
        <v>257</v>
      </c>
      <c r="S7" s="101" t="s">
        <v>152</v>
      </c>
      <c r="T7" s="101" t="s">
        <v>152</v>
      </c>
      <c r="U7" s="80" t="s">
        <v>180</v>
      </c>
      <c r="V7" s="88" t="s">
        <v>153</v>
      </c>
      <c r="W7" s="102">
        <v>4</v>
      </c>
      <c r="X7" s="80" t="s">
        <v>154</v>
      </c>
      <c r="Y7" s="90" t="s">
        <v>155</v>
      </c>
      <c r="Z7" s="90" t="s">
        <v>156</v>
      </c>
      <c r="AA7" s="88">
        <v>2</v>
      </c>
      <c r="AB7" s="101" t="s">
        <v>181</v>
      </c>
      <c r="AC7" s="103">
        <v>2</v>
      </c>
      <c r="AD7" s="101" t="s">
        <v>182</v>
      </c>
      <c r="AE7" s="101"/>
      <c r="AF7" s="95"/>
      <c r="AG7" s="95"/>
      <c r="AH7" s="95"/>
      <c r="AI7" s="96"/>
      <c r="AJ7" s="95"/>
      <c r="AK7" s="95"/>
      <c r="AL7" s="104"/>
      <c r="AM7" s="104"/>
      <c r="AN7" s="96"/>
      <c r="AO7" s="95"/>
      <c r="AP7" s="96"/>
      <c r="AQ7" s="95"/>
      <c r="AR7" s="95"/>
      <c r="AS7" s="95"/>
      <c r="AT7" s="96"/>
      <c r="AU7" s="95"/>
      <c r="AV7" s="95"/>
      <c r="AW7" s="95"/>
      <c r="AX7" s="95"/>
      <c r="AY7" s="96"/>
      <c r="AZ7" s="95"/>
      <c r="BA7" s="96"/>
    </row>
    <row r="8" spans="1:53" ht="169.5" x14ac:dyDescent="0.4">
      <c r="A8" s="80" t="s">
        <v>2158</v>
      </c>
      <c r="B8" s="88" t="s">
        <v>165</v>
      </c>
      <c r="C8" s="88" t="s">
        <v>2157</v>
      </c>
      <c r="D8" s="88" t="s">
        <v>183</v>
      </c>
      <c r="E8" s="97" t="s">
        <v>2159</v>
      </c>
      <c r="F8" s="83" t="s">
        <v>167</v>
      </c>
      <c r="G8" s="105" t="s">
        <v>168</v>
      </c>
      <c r="H8" s="88" t="s">
        <v>184</v>
      </c>
      <c r="I8" s="88" t="s">
        <v>170</v>
      </c>
      <c r="J8" s="99">
        <v>43055</v>
      </c>
      <c r="K8" s="99">
        <v>43069</v>
      </c>
      <c r="L8" s="99">
        <v>43083</v>
      </c>
      <c r="M8" s="541" t="s">
        <v>152</v>
      </c>
      <c r="N8" s="88" t="s">
        <v>151</v>
      </c>
      <c r="O8" s="99">
        <v>43088</v>
      </c>
      <c r="P8" s="100">
        <f t="shared" si="0"/>
        <v>33</v>
      </c>
      <c r="Q8" s="88">
        <f t="shared" si="1"/>
        <v>19</v>
      </c>
      <c r="R8" s="88">
        <f t="shared" si="2"/>
        <v>5</v>
      </c>
      <c r="S8" s="101" t="s">
        <v>152</v>
      </c>
      <c r="T8" s="101" t="s">
        <v>152</v>
      </c>
      <c r="U8" s="80" t="s">
        <v>185</v>
      </c>
      <c r="V8" s="88" t="s">
        <v>172</v>
      </c>
      <c r="W8" s="102">
        <v>3</v>
      </c>
      <c r="X8" s="80" t="s">
        <v>154</v>
      </c>
      <c r="Y8" s="80" t="s">
        <v>155</v>
      </c>
      <c r="Z8" s="90" t="s">
        <v>173</v>
      </c>
      <c r="AA8" s="88">
        <v>1</v>
      </c>
      <c r="AB8" s="101" t="s">
        <v>186</v>
      </c>
      <c r="AC8" s="103">
        <v>1</v>
      </c>
      <c r="AD8" s="101" t="s">
        <v>175</v>
      </c>
      <c r="AE8" s="101"/>
      <c r="AF8" s="95"/>
      <c r="AG8" s="95"/>
      <c r="AH8" s="95"/>
      <c r="AI8" s="96"/>
      <c r="AJ8" s="95"/>
      <c r="AK8" s="95"/>
      <c r="AL8" s="104"/>
      <c r="AM8" s="104"/>
      <c r="AN8" s="96"/>
      <c r="AO8" s="95"/>
      <c r="AP8" s="96"/>
      <c r="AQ8" s="95"/>
      <c r="AR8" s="95"/>
      <c r="AS8" s="95"/>
      <c r="AT8" s="96"/>
      <c r="AU8" s="95"/>
      <c r="AV8" s="95"/>
      <c r="AW8" s="95"/>
      <c r="AX8" s="95"/>
      <c r="AY8" s="96"/>
      <c r="AZ8" s="95"/>
      <c r="BA8" s="96"/>
    </row>
    <row r="9" spans="1:53" ht="124.5" x14ac:dyDescent="0.4">
      <c r="A9" s="88" t="s">
        <v>187</v>
      </c>
      <c r="B9" s="88" t="s">
        <v>165</v>
      </c>
      <c r="C9" s="88" t="s">
        <v>166</v>
      </c>
      <c r="D9" s="88" t="s">
        <v>188</v>
      </c>
      <c r="E9" s="97" t="s">
        <v>189</v>
      </c>
      <c r="F9" s="83" t="s">
        <v>167</v>
      </c>
      <c r="G9" s="105" t="s">
        <v>168</v>
      </c>
      <c r="H9" s="88" t="s">
        <v>190</v>
      </c>
      <c r="I9" s="80" t="s">
        <v>170</v>
      </c>
      <c r="J9" s="106">
        <v>42898</v>
      </c>
      <c r="K9" s="106">
        <v>42966</v>
      </c>
      <c r="L9" s="106">
        <v>42980</v>
      </c>
      <c r="M9" s="541" t="s">
        <v>152</v>
      </c>
      <c r="N9" s="88" t="s">
        <v>171</v>
      </c>
      <c r="O9" s="99">
        <v>42986</v>
      </c>
      <c r="P9" s="100">
        <f t="shared" si="0"/>
        <v>88</v>
      </c>
      <c r="Q9" s="88">
        <f>O9-K9</f>
        <v>20</v>
      </c>
      <c r="R9" s="88">
        <f t="shared" si="2"/>
        <v>6</v>
      </c>
      <c r="S9" s="101" t="s">
        <v>152</v>
      </c>
      <c r="T9" s="101" t="s">
        <v>152</v>
      </c>
      <c r="U9" s="88" t="s">
        <v>185</v>
      </c>
      <c r="V9" s="88" t="s">
        <v>172</v>
      </c>
      <c r="W9" s="107">
        <v>3</v>
      </c>
      <c r="X9" s="80" t="s">
        <v>154</v>
      </c>
      <c r="Y9" s="80" t="s">
        <v>155</v>
      </c>
      <c r="Z9" s="90" t="s">
        <v>173</v>
      </c>
      <c r="AA9" s="88">
        <v>1</v>
      </c>
      <c r="AB9" s="101" t="s">
        <v>191</v>
      </c>
      <c r="AC9" s="103">
        <v>1</v>
      </c>
      <c r="AD9" s="101" t="s">
        <v>175</v>
      </c>
      <c r="AE9" s="101"/>
      <c r="AF9" s="95"/>
      <c r="AG9" s="95"/>
      <c r="AH9" s="95"/>
      <c r="AI9" s="96"/>
      <c r="AJ9" s="95"/>
      <c r="AK9" s="95"/>
      <c r="AL9" s="104"/>
      <c r="AM9" s="104"/>
      <c r="AN9" s="96"/>
      <c r="AO9" s="95"/>
      <c r="AP9" s="96"/>
      <c r="AQ9" s="95"/>
      <c r="AR9" s="95"/>
      <c r="AS9" s="95"/>
      <c r="AT9" s="96"/>
      <c r="AU9" s="95"/>
      <c r="AV9" s="95"/>
      <c r="AW9" s="95"/>
      <c r="AX9" s="95"/>
      <c r="AY9" s="96"/>
      <c r="AZ9" s="95"/>
      <c r="BA9" s="96"/>
    </row>
    <row r="10" spans="1:53" ht="255" x14ac:dyDescent="0.4">
      <c r="A10" s="80" t="s">
        <v>192</v>
      </c>
      <c r="B10" s="88" t="s">
        <v>144</v>
      </c>
      <c r="C10" s="88" t="s">
        <v>2160</v>
      </c>
      <c r="D10" s="88" t="s">
        <v>188</v>
      </c>
      <c r="E10" s="108" t="s">
        <v>146</v>
      </c>
      <c r="F10" s="83" t="s">
        <v>147</v>
      </c>
      <c r="G10" s="105" t="s">
        <v>148</v>
      </c>
      <c r="H10" s="80" t="s">
        <v>193</v>
      </c>
      <c r="I10" s="80" t="s">
        <v>194</v>
      </c>
      <c r="J10" s="106">
        <v>42979</v>
      </c>
      <c r="K10" s="106">
        <v>42998</v>
      </c>
      <c r="L10" s="106">
        <v>43012</v>
      </c>
      <c r="M10" s="542" t="s">
        <v>152</v>
      </c>
      <c r="N10" s="80" t="s">
        <v>171</v>
      </c>
      <c r="O10" s="106">
        <v>43171</v>
      </c>
      <c r="P10" s="107">
        <f t="shared" si="0"/>
        <v>192</v>
      </c>
      <c r="Q10" s="80">
        <f t="shared" si="1"/>
        <v>173</v>
      </c>
      <c r="R10" s="80">
        <f t="shared" si="2"/>
        <v>159</v>
      </c>
      <c r="S10" s="101" t="s">
        <v>152</v>
      </c>
      <c r="T10" s="101" t="s">
        <v>152</v>
      </c>
      <c r="U10" s="80" t="s">
        <v>195</v>
      </c>
      <c r="V10" s="80" t="s">
        <v>153</v>
      </c>
      <c r="W10" s="107">
        <v>5</v>
      </c>
      <c r="X10" s="80" t="s">
        <v>154</v>
      </c>
      <c r="Y10" s="80" t="s">
        <v>155</v>
      </c>
      <c r="Z10" s="90" t="s">
        <v>173</v>
      </c>
      <c r="AA10" s="80">
        <v>9</v>
      </c>
      <c r="AB10" s="90" t="s">
        <v>196</v>
      </c>
      <c r="AC10" s="91">
        <v>4</v>
      </c>
      <c r="AD10" s="90" t="s">
        <v>197</v>
      </c>
      <c r="AE10" s="90"/>
      <c r="AF10" s="92"/>
      <c r="AG10" s="92"/>
      <c r="AH10" s="92"/>
      <c r="AI10" s="93"/>
      <c r="AJ10" s="92"/>
      <c r="AK10" s="92"/>
      <c r="AL10" s="94"/>
      <c r="AM10" s="94"/>
      <c r="AN10" s="93"/>
      <c r="AO10" s="92"/>
      <c r="AP10" s="93"/>
      <c r="AQ10" s="95"/>
      <c r="AR10" s="95"/>
      <c r="AS10" s="95"/>
      <c r="AT10" s="96"/>
      <c r="AU10" s="95"/>
      <c r="AV10" s="95"/>
      <c r="AW10" s="95"/>
      <c r="AX10" s="95"/>
      <c r="AY10" s="96"/>
      <c r="AZ10" s="95"/>
      <c r="BA10" s="96"/>
    </row>
    <row r="11" spans="1:53" ht="240" x14ac:dyDescent="0.4">
      <c r="A11" s="80" t="s">
        <v>198</v>
      </c>
      <c r="B11" s="88" t="s">
        <v>199</v>
      </c>
      <c r="C11" s="88" t="s">
        <v>353</v>
      </c>
      <c r="D11" s="88" t="s">
        <v>188</v>
      </c>
      <c r="E11" s="108" t="s">
        <v>146</v>
      </c>
      <c r="F11" s="83" t="s">
        <v>147</v>
      </c>
      <c r="G11" s="105" t="s">
        <v>148</v>
      </c>
      <c r="H11" s="80" t="s">
        <v>200</v>
      </c>
      <c r="I11" s="80" t="s">
        <v>194</v>
      </c>
      <c r="J11" s="106">
        <v>42979</v>
      </c>
      <c r="K11" s="106">
        <v>42998</v>
      </c>
      <c r="L11" s="106">
        <v>43012</v>
      </c>
      <c r="M11" s="542" t="s">
        <v>152</v>
      </c>
      <c r="N11" s="80" t="s">
        <v>171</v>
      </c>
      <c r="O11" s="106">
        <v>43171</v>
      </c>
      <c r="P11" s="107">
        <f t="shared" si="0"/>
        <v>192</v>
      </c>
      <c r="Q11" s="80">
        <f t="shared" si="1"/>
        <v>173</v>
      </c>
      <c r="R11" s="80">
        <f t="shared" si="2"/>
        <v>159</v>
      </c>
      <c r="S11" s="101" t="s">
        <v>152</v>
      </c>
      <c r="T11" s="101" t="s">
        <v>152</v>
      </c>
      <c r="U11" s="80" t="s">
        <v>201</v>
      </c>
      <c r="V11" s="80" t="s">
        <v>153</v>
      </c>
      <c r="W11" s="107">
        <v>3</v>
      </c>
      <c r="X11" s="80" t="s">
        <v>154</v>
      </c>
      <c r="Y11" s="80" t="s">
        <v>202</v>
      </c>
      <c r="Z11" s="90" t="s">
        <v>173</v>
      </c>
      <c r="AA11" s="80">
        <v>8</v>
      </c>
      <c r="AB11" s="90" t="s">
        <v>203</v>
      </c>
      <c r="AC11" s="91">
        <v>9</v>
      </c>
      <c r="AD11" s="90" t="s">
        <v>204</v>
      </c>
      <c r="AE11" s="90"/>
      <c r="AF11" s="92"/>
      <c r="AG11" s="92"/>
      <c r="AH11" s="92"/>
      <c r="AI11" s="93"/>
      <c r="AJ11" s="92"/>
      <c r="AK11" s="92"/>
      <c r="AL11" s="94"/>
      <c r="AM11" s="94"/>
      <c r="AN11" s="93"/>
      <c r="AO11" s="92"/>
      <c r="AP11" s="93"/>
      <c r="AQ11" s="95"/>
      <c r="AR11" s="95"/>
      <c r="AS11" s="95"/>
      <c r="AT11" s="96"/>
      <c r="AU11" s="95"/>
      <c r="AV11" s="95"/>
      <c r="AW11" s="95"/>
      <c r="AX11" s="95"/>
      <c r="AY11" s="96"/>
      <c r="AZ11" s="95"/>
      <c r="BA11" s="96"/>
    </row>
    <row r="12" spans="1:53" ht="103.5" x14ac:dyDescent="0.4">
      <c r="A12" s="88" t="s">
        <v>205</v>
      </c>
      <c r="B12" s="88" t="s">
        <v>206</v>
      </c>
      <c r="C12" s="88" t="s">
        <v>2160</v>
      </c>
      <c r="D12" s="88" t="s">
        <v>207</v>
      </c>
      <c r="E12" s="97" t="s">
        <v>189</v>
      </c>
      <c r="F12" s="83" t="s">
        <v>167</v>
      </c>
      <c r="G12" s="98" t="s">
        <v>208</v>
      </c>
      <c r="H12" s="88" t="s">
        <v>209</v>
      </c>
      <c r="I12" s="88" t="s">
        <v>210</v>
      </c>
      <c r="J12" s="99">
        <v>42377</v>
      </c>
      <c r="K12" s="99">
        <v>42410</v>
      </c>
      <c r="L12" s="99">
        <v>42424</v>
      </c>
      <c r="M12" s="541" t="s">
        <v>152</v>
      </c>
      <c r="N12" s="88" t="s">
        <v>171</v>
      </c>
      <c r="O12" s="99">
        <v>42463</v>
      </c>
      <c r="P12" s="100">
        <f t="shared" si="0"/>
        <v>86</v>
      </c>
      <c r="Q12" s="88">
        <f t="shared" si="1"/>
        <v>53</v>
      </c>
      <c r="R12" s="88">
        <f t="shared" si="2"/>
        <v>39</v>
      </c>
      <c r="S12" s="101" t="s">
        <v>152</v>
      </c>
      <c r="T12" s="101" t="s">
        <v>152</v>
      </c>
      <c r="U12" s="88" t="s">
        <v>211</v>
      </c>
      <c r="V12" s="88" t="s">
        <v>172</v>
      </c>
      <c r="W12" s="100">
        <v>3</v>
      </c>
      <c r="X12" s="88" t="s">
        <v>154</v>
      </c>
      <c r="Y12" s="80" t="s">
        <v>212</v>
      </c>
      <c r="Z12" s="80" t="s">
        <v>213</v>
      </c>
      <c r="AA12" s="88">
        <v>3</v>
      </c>
      <c r="AB12" s="101" t="s">
        <v>214</v>
      </c>
      <c r="AC12" s="103">
        <v>1</v>
      </c>
      <c r="AD12" s="88" t="s">
        <v>215</v>
      </c>
      <c r="AE12" s="88"/>
      <c r="AF12" s="104"/>
      <c r="AG12" s="104"/>
      <c r="AH12" s="104"/>
      <c r="AI12" s="109"/>
      <c r="AJ12" s="104"/>
      <c r="AK12" s="104"/>
      <c r="AL12" s="104"/>
      <c r="AM12" s="104"/>
      <c r="AN12" s="109"/>
      <c r="AO12" s="104"/>
      <c r="AP12" s="96"/>
      <c r="AQ12" s="95"/>
      <c r="AR12" s="95"/>
      <c r="AS12" s="95"/>
      <c r="AT12" s="96"/>
      <c r="AU12" s="95"/>
      <c r="AV12" s="95"/>
      <c r="AW12" s="95"/>
      <c r="AX12" s="95"/>
      <c r="AY12" s="96"/>
      <c r="AZ12" s="95"/>
      <c r="BA12" s="96"/>
    </row>
    <row r="13" spans="1:53" ht="75" x14ac:dyDescent="0.4">
      <c r="A13" s="80" t="s">
        <v>216</v>
      </c>
      <c r="B13" s="88" t="s">
        <v>217</v>
      </c>
      <c r="C13" s="88" t="s">
        <v>2160</v>
      </c>
      <c r="D13" s="88" t="s">
        <v>207</v>
      </c>
      <c r="E13" s="97" t="s">
        <v>189</v>
      </c>
      <c r="F13" s="83" t="s">
        <v>167</v>
      </c>
      <c r="G13" s="105" t="s">
        <v>168</v>
      </c>
      <c r="H13" s="80" t="s">
        <v>218</v>
      </c>
      <c r="I13" s="88" t="s">
        <v>219</v>
      </c>
      <c r="J13" s="106">
        <v>42724</v>
      </c>
      <c r="K13" s="106">
        <v>42746</v>
      </c>
      <c r="L13" s="106">
        <v>42760</v>
      </c>
      <c r="M13" s="543" t="s">
        <v>152</v>
      </c>
      <c r="N13" s="80" t="s">
        <v>151</v>
      </c>
      <c r="O13" s="106">
        <v>42817</v>
      </c>
      <c r="P13" s="107">
        <f t="shared" si="0"/>
        <v>93</v>
      </c>
      <c r="Q13" s="80">
        <f t="shared" si="1"/>
        <v>71</v>
      </c>
      <c r="R13" s="80">
        <f t="shared" si="2"/>
        <v>57</v>
      </c>
      <c r="S13" s="101" t="s">
        <v>152</v>
      </c>
      <c r="T13" s="101" t="s">
        <v>152</v>
      </c>
      <c r="U13" s="88" t="s">
        <v>185</v>
      </c>
      <c r="V13" s="88" t="s">
        <v>172</v>
      </c>
      <c r="W13" s="107">
        <v>3</v>
      </c>
      <c r="X13" s="80" t="s">
        <v>154</v>
      </c>
      <c r="Y13" s="80" t="s">
        <v>155</v>
      </c>
      <c r="Z13" s="90" t="s">
        <v>213</v>
      </c>
      <c r="AA13" s="101">
        <v>2</v>
      </c>
      <c r="AB13" s="88" t="s">
        <v>220</v>
      </c>
      <c r="AC13" s="103">
        <v>1</v>
      </c>
      <c r="AD13" s="101" t="s">
        <v>221</v>
      </c>
      <c r="AE13" s="80"/>
      <c r="AF13" s="110"/>
      <c r="AG13" s="110"/>
      <c r="AH13" s="110"/>
      <c r="AI13" s="111"/>
      <c r="AJ13" s="110"/>
      <c r="AK13" s="110"/>
      <c r="AL13" s="110"/>
      <c r="AM13" s="110"/>
      <c r="AN13" s="111"/>
      <c r="AO13" s="110"/>
      <c r="AP13" s="96"/>
      <c r="AQ13" s="95"/>
      <c r="AR13" s="95"/>
      <c r="AS13" s="95"/>
      <c r="AT13" s="96"/>
      <c r="AU13" s="95"/>
      <c r="AV13" s="95"/>
      <c r="AW13" s="95"/>
      <c r="AX13" s="95"/>
      <c r="AY13" s="96"/>
      <c r="AZ13" s="95"/>
      <c r="BA13" s="96"/>
    </row>
    <row r="14" spans="1:53" ht="84" x14ac:dyDescent="0.4">
      <c r="A14" s="80" t="s">
        <v>222</v>
      </c>
      <c r="B14" s="88" t="s">
        <v>223</v>
      </c>
      <c r="C14" s="88" t="s">
        <v>166</v>
      </c>
      <c r="D14" s="88" t="s">
        <v>207</v>
      </c>
      <c r="E14" s="97" t="s">
        <v>189</v>
      </c>
      <c r="F14" s="83" t="s">
        <v>224</v>
      </c>
      <c r="G14" s="105" t="s">
        <v>225</v>
      </c>
      <c r="H14" s="80" t="s">
        <v>226</v>
      </c>
      <c r="I14" s="88" t="s">
        <v>227</v>
      </c>
      <c r="J14" s="106">
        <v>42769</v>
      </c>
      <c r="K14" s="106">
        <v>42790</v>
      </c>
      <c r="L14" s="106">
        <v>42804</v>
      </c>
      <c r="M14" s="543">
        <v>2</v>
      </c>
      <c r="N14" s="80" t="s">
        <v>151</v>
      </c>
      <c r="O14" s="106">
        <v>42817</v>
      </c>
      <c r="P14" s="107">
        <f t="shared" si="0"/>
        <v>48</v>
      </c>
      <c r="Q14" s="80">
        <f t="shared" si="1"/>
        <v>27</v>
      </c>
      <c r="R14" s="80">
        <f t="shared" si="2"/>
        <v>13</v>
      </c>
      <c r="S14" s="101" t="s">
        <v>152</v>
      </c>
      <c r="T14" s="101" t="s">
        <v>152</v>
      </c>
      <c r="U14" s="88" t="s">
        <v>228</v>
      </c>
      <c r="V14" s="88" t="s">
        <v>153</v>
      </c>
      <c r="W14" s="107">
        <v>2</v>
      </c>
      <c r="X14" s="80" t="s">
        <v>154</v>
      </c>
      <c r="Y14" s="80" t="s">
        <v>155</v>
      </c>
      <c r="Z14" s="90" t="s">
        <v>156</v>
      </c>
      <c r="AA14" s="88">
        <v>4</v>
      </c>
      <c r="AB14" s="88" t="s">
        <v>229</v>
      </c>
      <c r="AC14" s="103">
        <v>1</v>
      </c>
      <c r="AD14" s="101" t="s">
        <v>230</v>
      </c>
      <c r="AE14" s="80"/>
      <c r="AF14" s="110"/>
      <c r="AG14" s="110"/>
      <c r="AH14" s="110"/>
      <c r="AI14" s="111"/>
      <c r="AJ14" s="110"/>
      <c r="AK14" s="110"/>
      <c r="AL14" s="110"/>
      <c r="AM14" s="110"/>
      <c r="AN14" s="111"/>
      <c r="AO14" s="110"/>
      <c r="AP14" s="96"/>
      <c r="AQ14" s="95"/>
      <c r="AR14" s="95"/>
      <c r="AS14" s="95"/>
      <c r="AT14" s="96"/>
      <c r="AU14" s="95"/>
      <c r="AV14" s="95"/>
      <c r="AW14" s="95"/>
      <c r="AX14" s="95"/>
      <c r="AY14" s="96"/>
      <c r="AZ14" s="95"/>
      <c r="BA14" s="96"/>
    </row>
    <row r="15" spans="1:53" ht="79.5" x14ac:dyDescent="0.4">
      <c r="A15" s="88" t="s">
        <v>231</v>
      </c>
      <c r="B15" s="88" t="s">
        <v>232</v>
      </c>
      <c r="C15" s="88" t="s">
        <v>381</v>
      </c>
      <c r="D15" s="88" t="s">
        <v>233</v>
      </c>
      <c r="E15" s="97" t="s">
        <v>412</v>
      </c>
      <c r="F15" s="83" t="s">
        <v>2161</v>
      </c>
      <c r="G15" s="98" t="s">
        <v>148</v>
      </c>
      <c r="H15" s="88" t="s">
        <v>235</v>
      </c>
      <c r="I15" s="88" t="s">
        <v>236</v>
      </c>
      <c r="J15" s="99">
        <v>41759</v>
      </c>
      <c r="K15" s="99">
        <v>41760</v>
      </c>
      <c r="L15" s="99">
        <v>41774</v>
      </c>
      <c r="M15" s="541">
        <v>1</v>
      </c>
      <c r="N15" s="88" t="s">
        <v>151</v>
      </c>
      <c r="O15" s="99">
        <v>41778</v>
      </c>
      <c r="P15" s="100">
        <f t="shared" si="0"/>
        <v>19</v>
      </c>
      <c r="Q15" s="88">
        <f t="shared" si="1"/>
        <v>18</v>
      </c>
      <c r="R15" s="88">
        <f t="shared" si="2"/>
        <v>4</v>
      </c>
      <c r="S15" s="101" t="s">
        <v>152</v>
      </c>
      <c r="T15" s="101" t="s">
        <v>152</v>
      </c>
      <c r="U15" s="88" t="s">
        <v>237</v>
      </c>
      <c r="V15" s="88" t="s">
        <v>172</v>
      </c>
      <c r="W15" s="100">
        <v>6</v>
      </c>
      <c r="X15" s="88" t="s">
        <v>154</v>
      </c>
      <c r="Y15" s="80" t="s">
        <v>212</v>
      </c>
      <c r="Z15" s="90" t="s">
        <v>156</v>
      </c>
      <c r="AA15" s="88">
        <v>2</v>
      </c>
      <c r="AB15" s="101" t="s">
        <v>238</v>
      </c>
      <c r="AC15" s="103">
        <v>2</v>
      </c>
      <c r="AD15" s="101" t="s">
        <v>239</v>
      </c>
      <c r="AE15" s="101" t="s">
        <v>240</v>
      </c>
      <c r="AF15" s="95"/>
      <c r="AG15" s="95"/>
      <c r="AH15" s="95"/>
      <c r="AI15" s="96"/>
      <c r="AJ15" s="95"/>
      <c r="AK15" s="96"/>
      <c r="AL15" s="95"/>
      <c r="AM15" s="95"/>
      <c r="AN15" s="96"/>
      <c r="AO15" s="95"/>
      <c r="AP15" s="96"/>
      <c r="AQ15" s="95"/>
      <c r="AR15" s="95"/>
      <c r="AS15" s="95"/>
      <c r="AT15" s="96"/>
      <c r="AU15" s="95"/>
      <c r="AV15" s="95"/>
      <c r="AW15" s="95"/>
      <c r="AX15" s="95"/>
      <c r="AY15" s="96"/>
      <c r="AZ15" s="95"/>
      <c r="BA15" s="96"/>
    </row>
    <row r="16" spans="1:53" ht="195" x14ac:dyDescent="0.4">
      <c r="A16" s="88" t="s">
        <v>241</v>
      </c>
      <c r="B16" s="88" t="s">
        <v>144</v>
      </c>
      <c r="C16" s="81" t="s">
        <v>2154</v>
      </c>
      <c r="D16" s="88" t="s">
        <v>233</v>
      </c>
      <c r="E16" s="97" t="s">
        <v>146</v>
      </c>
      <c r="F16" s="83" t="s">
        <v>147</v>
      </c>
      <c r="G16" s="98" t="s">
        <v>148</v>
      </c>
      <c r="H16" s="88" t="s">
        <v>243</v>
      </c>
      <c r="I16" s="88" t="s">
        <v>150</v>
      </c>
      <c r="J16" s="99">
        <v>41758</v>
      </c>
      <c r="K16" s="99">
        <v>41760</v>
      </c>
      <c r="L16" s="99">
        <v>41774</v>
      </c>
      <c r="M16" s="541" t="s">
        <v>152</v>
      </c>
      <c r="N16" s="88" t="s">
        <v>171</v>
      </c>
      <c r="O16" s="99">
        <v>41899</v>
      </c>
      <c r="P16" s="100">
        <f t="shared" si="0"/>
        <v>141</v>
      </c>
      <c r="Q16" s="88">
        <f t="shared" si="1"/>
        <v>139</v>
      </c>
      <c r="R16" s="88">
        <f t="shared" si="2"/>
        <v>125</v>
      </c>
      <c r="S16" s="101" t="s">
        <v>152</v>
      </c>
      <c r="T16" s="101" t="s">
        <v>152</v>
      </c>
      <c r="U16" s="88" t="s">
        <v>195</v>
      </c>
      <c r="V16" s="88" t="s">
        <v>153</v>
      </c>
      <c r="W16" s="100">
        <v>5</v>
      </c>
      <c r="X16" s="88" t="s">
        <v>154</v>
      </c>
      <c r="Y16" s="90" t="s">
        <v>155</v>
      </c>
      <c r="Z16" s="90" t="s">
        <v>156</v>
      </c>
      <c r="AA16" s="88">
        <v>7</v>
      </c>
      <c r="AB16" s="101" t="s">
        <v>244</v>
      </c>
      <c r="AC16" s="103">
        <v>3</v>
      </c>
      <c r="AD16" s="101" t="s">
        <v>245</v>
      </c>
      <c r="AE16" s="101" t="s">
        <v>246</v>
      </c>
      <c r="AF16" s="95" t="s">
        <v>247</v>
      </c>
      <c r="AG16" s="95" t="s">
        <v>248</v>
      </c>
      <c r="AH16" s="95" t="s">
        <v>249</v>
      </c>
      <c r="AI16" s="96" t="s">
        <v>250</v>
      </c>
      <c r="AJ16" s="95" t="s">
        <v>160</v>
      </c>
      <c r="AK16" s="96" t="s">
        <v>251</v>
      </c>
      <c r="AL16" s="95" t="s">
        <v>252</v>
      </c>
      <c r="AM16" s="95" t="s">
        <v>253</v>
      </c>
      <c r="AN16" s="96" t="s">
        <v>254</v>
      </c>
      <c r="AO16" s="104" t="s">
        <v>152</v>
      </c>
      <c r="AP16" s="96">
        <v>42318</v>
      </c>
      <c r="AQ16" s="95"/>
      <c r="AR16" s="95"/>
      <c r="AS16" s="95"/>
      <c r="AT16" s="96"/>
      <c r="AU16" s="95"/>
      <c r="AV16" s="95"/>
      <c r="AW16" s="95"/>
      <c r="AX16" s="95"/>
      <c r="AY16" s="96"/>
      <c r="AZ16" s="95"/>
      <c r="BA16" s="96"/>
    </row>
    <row r="17" spans="1:53" ht="228" x14ac:dyDescent="0.4">
      <c r="A17" s="88" t="s">
        <v>255</v>
      </c>
      <c r="B17" s="88" t="s">
        <v>256</v>
      </c>
      <c r="C17" s="81" t="s">
        <v>242</v>
      </c>
      <c r="D17" s="88" t="s">
        <v>233</v>
      </c>
      <c r="E17" s="97" t="s">
        <v>146</v>
      </c>
      <c r="F17" s="83" t="s">
        <v>147</v>
      </c>
      <c r="G17" s="98" t="s">
        <v>148</v>
      </c>
      <c r="H17" s="88" t="s">
        <v>257</v>
      </c>
      <c r="I17" s="88" t="s">
        <v>258</v>
      </c>
      <c r="J17" s="99">
        <v>41852</v>
      </c>
      <c r="K17" s="99">
        <v>41892</v>
      </c>
      <c r="L17" s="99">
        <v>41906</v>
      </c>
      <c r="M17" s="541">
        <v>3</v>
      </c>
      <c r="N17" s="99" t="s">
        <v>151</v>
      </c>
      <c r="O17" s="99">
        <v>41942</v>
      </c>
      <c r="P17" s="100">
        <f t="shared" si="0"/>
        <v>90</v>
      </c>
      <c r="Q17" s="88">
        <f t="shared" si="1"/>
        <v>50</v>
      </c>
      <c r="R17" s="88">
        <f t="shared" si="2"/>
        <v>36</v>
      </c>
      <c r="S17" s="101" t="s">
        <v>152</v>
      </c>
      <c r="T17" s="101" t="s">
        <v>152</v>
      </c>
      <c r="U17" s="80" t="s">
        <v>259</v>
      </c>
      <c r="V17" s="88" t="s">
        <v>153</v>
      </c>
      <c r="W17" s="100">
        <v>7</v>
      </c>
      <c r="X17" s="88" t="s">
        <v>154</v>
      </c>
      <c r="Y17" s="90" t="s">
        <v>155</v>
      </c>
      <c r="Z17" s="90" t="s">
        <v>156</v>
      </c>
      <c r="AA17" s="88">
        <v>4</v>
      </c>
      <c r="AB17" s="101" t="s">
        <v>260</v>
      </c>
      <c r="AC17" s="103">
        <v>3</v>
      </c>
      <c r="AD17" s="101" t="s">
        <v>261</v>
      </c>
      <c r="AE17" s="101" t="s">
        <v>262</v>
      </c>
      <c r="AF17" s="95" t="s">
        <v>263</v>
      </c>
      <c r="AG17" s="95" t="s">
        <v>264</v>
      </c>
      <c r="AH17" s="95" t="s">
        <v>258</v>
      </c>
      <c r="AI17" s="96" t="s">
        <v>250</v>
      </c>
      <c r="AJ17" s="95" t="s">
        <v>160</v>
      </c>
      <c r="AK17" s="96" t="s">
        <v>265</v>
      </c>
      <c r="AL17" s="95" t="s">
        <v>266</v>
      </c>
      <c r="AM17" s="95" t="s">
        <v>267</v>
      </c>
      <c r="AN17" s="96" t="s">
        <v>254</v>
      </c>
      <c r="AO17" s="104" t="s">
        <v>152</v>
      </c>
      <c r="AP17" s="96">
        <v>42318</v>
      </c>
      <c r="AQ17" s="95"/>
      <c r="AR17" s="95"/>
      <c r="AS17" s="95"/>
      <c r="AT17" s="96"/>
      <c r="AU17" s="95"/>
      <c r="AV17" s="95"/>
      <c r="AW17" s="95"/>
      <c r="AX17" s="95"/>
      <c r="AY17" s="96"/>
      <c r="AZ17" s="95"/>
      <c r="BA17" s="96"/>
    </row>
    <row r="18" spans="1:53" ht="120" x14ac:dyDescent="0.4">
      <c r="A18" s="88" t="s">
        <v>268</v>
      </c>
      <c r="B18" s="88" t="s">
        <v>269</v>
      </c>
      <c r="C18" s="81" t="s">
        <v>242</v>
      </c>
      <c r="D18" s="88" t="s">
        <v>233</v>
      </c>
      <c r="E18" s="97" t="s">
        <v>146</v>
      </c>
      <c r="F18" s="83" t="s">
        <v>147</v>
      </c>
      <c r="G18" s="98" t="s">
        <v>270</v>
      </c>
      <c r="H18" s="88" t="s">
        <v>271</v>
      </c>
      <c r="I18" s="88" t="s">
        <v>272</v>
      </c>
      <c r="J18" s="99">
        <v>41886</v>
      </c>
      <c r="K18" s="99">
        <v>41892</v>
      </c>
      <c r="L18" s="99">
        <v>41906</v>
      </c>
      <c r="M18" s="541">
        <v>3</v>
      </c>
      <c r="N18" s="99" t="s">
        <v>151</v>
      </c>
      <c r="O18" s="99">
        <v>41942</v>
      </c>
      <c r="P18" s="100">
        <f t="shared" si="0"/>
        <v>56</v>
      </c>
      <c r="Q18" s="88">
        <f t="shared" si="1"/>
        <v>50</v>
      </c>
      <c r="R18" s="88">
        <f t="shared" si="2"/>
        <v>36</v>
      </c>
      <c r="S18" s="101" t="s">
        <v>152</v>
      </c>
      <c r="T18" s="101" t="s">
        <v>152</v>
      </c>
      <c r="U18" s="88" t="s">
        <v>273</v>
      </c>
      <c r="V18" s="88" t="s">
        <v>153</v>
      </c>
      <c r="W18" s="100">
        <v>4</v>
      </c>
      <c r="X18" s="88" t="s">
        <v>154</v>
      </c>
      <c r="Y18" s="90" t="s">
        <v>155</v>
      </c>
      <c r="Z18" s="90" t="s">
        <v>156</v>
      </c>
      <c r="AA18" s="88">
        <v>3</v>
      </c>
      <c r="AB18" s="101" t="s">
        <v>274</v>
      </c>
      <c r="AC18" s="103">
        <v>1</v>
      </c>
      <c r="AD18" s="101" t="s">
        <v>275</v>
      </c>
      <c r="AE18" s="101" t="s">
        <v>276</v>
      </c>
      <c r="AF18" s="95" t="s">
        <v>277</v>
      </c>
      <c r="AG18" s="95" t="s">
        <v>278</v>
      </c>
      <c r="AH18" s="95" t="s">
        <v>272</v>
      </c>
      <c r="AI18" s="96" t="s">
        <v>250</v>
      </c>
      <c r="AJ18" s="95" t="s">
        <v>160</v>
      </c>
      <c r="AK18" s="96" t="s">
        <v>279</v>
      </c>
      <c r="AL18" s="95" t="s">
        <v>280</v>
      </c>
      <c r="AM18" s="95" t="s">
        <v>281</v>
      </c>
      <c r="AN18" s="96" t="s">
        <v>254</v>
      </c>
      <c r="AO18" s="104" t="s">
        <v>152</v>
      </c>
      <c r="AP18" s="96">
        <v>42318</v>
      </c>
      <c r="AQ18" s="95"/>
      <c r="AR18" s="95"/>
      <c r="AS18" s="95"/>
      <c r="AT18" s="96"/>
      <c r="AU18" s="95"/>
      <c r="AV18" s="95"/>
      <c r="AW18" s="95"/>
      <c r="AX18" s="95"/>
      <c r="AY18" s="96"/>
      <c r="AZ18" s="95"/>
      <c r="BA18" s="96"/>
    </row>
    <row r="19" spans="1:53" ht="90" x14ac:dyDescent="0.4">
      <c r="A19" s="88" t="s">
        <v>282</v>
      </c>
      <c r="B19" s="88" t="s">
        <v>283</v>
      </c>
      <c r="C19" s="81" t="s">
        <v>242</v>
      </c>
      <c r="D19" s="88" t="s">
        <v>233</v>
      </c>
      <c r="E19" s="97" t="s">
        <v>146</v>
      </c>
      <c r="F19" s="83" t="s">
        <v>147</v>
      </c>
      <c r="G19" s="98" t="s">
        <v>270</v>
      </c>
      <c r="H19" s="88" t="s">
        <v>284</v>
      </c>
      <c r="I19" s="88" t="s">
        <v>272</v>
      </c>
      <c r="J19" s="99">
        <v>41886</v>
      </c>
      <c r="K19" s="99">
        <v>41892</v>
      </c>
      <c r="L19" s="99">
        <v>41906</v>
      </c>
      <c r="M19" s="541" t="s">
        <v>152</v>
      </c>
      <c r="N19" s="99" t="s">
        <v>171</v>
      </c>
      <c r="O19" s="99">
        <v>42138</v>
      </c>
      <c r="P19" s="100">
        <f t="shared" si="0"/>
        <v>252</v>
      </c>
      <c r="Q19" s="88">
        <f t="shared" si="1"/>
        <v>246</v>
      </c>
      <c r="R19" s="88">
        <f t="shared" si="2"/>
        <v>232</v>
      </c>
      <c r="S19" s="101" t="s">
        <v>152</v>
      </c>
      <c r="T19" s="101" t="s">
        <v>152</v>
      </c>
      <c r="U19" s="88" t="s">
        <v>285</v>
      </c>
      <c r="V19" s="88" t="s">
        <v>153</v>
      </c>
      <c r="W19" s="100">
        <v>4</v>
      </c>
      <c r="X19" s="88" t="s">
        <v>154</v>
      </c>
      <c r="Y19" s="90" t="s">
        <v>155</v>
      </c>
      <c r="Z19" s="90" t="s">
        <v>156</v>
      </c>
      <c r="AA19" s="88">
        <v>4</v>
      </c>
      <c r="AB19" s="101" t="s">
        <v>286</v>
      </c>
      <c r="AC19" s="103">
        <v>1</v>
      </c>
      <c r="AD19" s="101" t="s">
        <v>287</v>
      </c>
      <c r="AE19" s="101" t="s">
        <v>276</v>
      </c>
      <c r="AF19" s="95" t="s">
        <v>288</v>
      </c>
      <c r="AG19" s="95" t="s">
        <v>289</v>
      </c>
      <c r="AH19" s="95" t="s">
        <v>272</v>
      </c>
      <c r="AI19" s="96" t="s">
        <v>250</v>
      </c>
      <c r="AJ19" s="95" t="s">
        <v>160</v>
      </c>
      <c r="AK19" s="96" t="s">
        <v>290</v>
      </c>
      <c r="AL19" s="95" t="s">
        <v>291</v>
      </c>
      <c r="AM19" s="95" t="s">
        <v>292</v>
      </c>
      <c r="AN19" s="96" t="s">
        <v>254</v>
      </c>
      <c r="AO19" s="104" t="s">
        <v>152</v>
      </c>
      <c r="AP19" s="96">
        <v>42318</v>
      </c>
      <c r="AQ19" s="95"/>
      <c r="AR19" s="95"/>
      <c r="AS19" s="95"/>
      <c r="AT19" s="96"/>
      <c r="AU19" s="95"/>
      <c r="AV19" s="95"/>
      <c r="AW19" s="95"/>
      <c r="AX19" s="95"/>
      <c r="AY19" s="96"/>
      <c r="AZ19" s="95"/>
      <c r="BA19" s="96"/>
    </row>
    <row r="20" spans="1:53" ht="393" x14ac:dyDescent="0.4">
      <c r="A20" s="112" t="s">
        <v>293</v>
      </c>
      <c r="B20" s="88" t="s">
        <v>294</v>
      </c>
      <c r="C20" s="88" t="s">
        <v>295</v>
      </c>
      <c r="D20" s="88" t="s">
        <v>233</v>
      </c>
      <c r="E20" s="108" t="s">
        <v>146</v>
      </c>
      <c r="F20" s="83" t="s">
        <v>147</v>
      </c>
      <c r="G20" s="105" t="s">
        <v>148</v>
      </c>
      <c r="H20" s="80" t="s">
        <v>296</v>
      </c>
      <c r="I20" s="80" t="s">
        <v>297</v>
      </c>
      <c r="J20" s="106">
        <v>41920</v>
      </c>
      <c r="K20" s="106">
        <v>41928</v>
      </c>
      <c r="L20" s="106">
        <v>41942</v>
      </c>
      <c r="M20" s="542" t="s">
        <v>152</v>
      </c>
      <c r="N20" s="106" t="s">
        <v>151</v>
      </c>
      <c r="O20" s="106">
        <v>42142</v>
      </c>
      <c r="P20" s="107">
        <f t="shared" si="0"/>
        <v>222</v>
      </c>
      <c r="Q20" s="80">
        <f t="shared" si="1"/>
        <v>214</v>
      </c>
      <c r="R20" s="80">
        <f t="shared" si="2"/>
        <v>200</v>
      </c>
      <c r="S20" s="101" t="s">
        <v>152</v>
      </c>
      <c r="T20" s="101" t="s">
        <v>152</v>
      </c>
      <c r="U20" s="113" t="s">
        <v>298</v>
      </c>
      <c r="V20" s="80" t="s">
        <v>172</v>
      </c>
      <c r="W20" s="107">
        <v>4</v>
      </c>
      <c r="X20" s="80" t="s">
        <v>154</v>
      </c>
      <c r="Y20" s="80" t="s">
        <v>212</v>
      </c>
      <c r="Z20" s="90" t="s">
        <v>299</v>
      </c>
      <c r="AA20" s="80">
        <v>16</v>
      </c>
      <c r="AB20" s="90" t="s">
        <v>300</v>
      </c>
      <c r="AC20" s="91">
        <v>16</v>
      </c>
      <c r="AD20" s="90" t="s">
        <v>301</v>
      </c>
      <c r="AE20" s="90" t="s">
        <v>302</v>
      </c>
      <c r="AF20" s="92"/>
      <c r="AG20" s="92" t="s">
        <v>303</v>
      </c>
      <c r="AH20" s="92" t="s">
        <v>297</v>
      </c>
      <c r="AI20" s="93">
        <v>42772</v>
      </c>
      <c r="AJ20" s="92" t="s">
        <v>2162</v>
      </c>
      <c r="AK20" s="93" t="s">
        <v>305</v>
      </c>
      <c r="AL20" s="92" t="s">
        <v>306</v>
      </c>
      <c r="AM20" s="92" t="s">
        <v>307</v>
      </c>
      <c r="AN20" s="93" t="s">
        <v>308</v>
      </c>
      <c r="AO20" s="94" t="s">
        <v>152</v>
      </c>
      <c r="AP20" s="93">
        <v>43073</v>
      </c>
      <c r="AQ20" s="95"/>
      <c r="AR20" s="95"/>
      <c r="AS20" s="95"/>
      <c r="AT20" s="94" t="s">
        <v>152</v>
      </c>
      <c r="AU20" s="88" t="s">
        <v>160</v>
      </c>
      <c r="AV20" s="88" t="s">
        <v>309</v>
      </c>
      <c r="AW20" s="88" t="s">
        <v>310</v>
      </c>
      <c r="AX20" s="95" t="s">
        <v>311</v>
      </c>
      <c r="AY20" s="114" t="s">
        <v>312</v>
      </c>
      <c r="AZ20" s="114" t="s">
        <v>312</v>
      </c>
      <c r="BA20" s="99">
        <v>43594</v>
      </c>
    </row>
    <row r="21" spans="1:53" ht="352.5" x14ac:dyDescent="0.4">
      <c r="A21" s="112" t="s">
        <v>313</v>
      </c>
      <c r="B21" s="88" t="s">
        <v>314</v>
      </c>
      <c r="C21" s="88" t="s">
        <v>661</v>
      </c>
      <c r="D21" s="88" t="s">
        <v>233</v>
      </c>
      <c r="E21" s="97" t="s">
        <v>146</v>
      </c>
      <c r="F21" s="83" t="s">
        <v>147</v>
      </c>
      <c r="G21" s="98" t="s">
        <v>148</v>
      </c>
      <c r="H21" s="88" t="s">
        <v>316</v>
      </c>
      <c r="I21" s="88" t="s">
        <v>317</v>
      </c>
      <c r="J21" s="99">
        <v>41920</v>
      </c>
      <c r="K21" s="99">
        <v>41928</v>
      </c>
      <c r="L21" s="99">
        <v>41942</v>
      </c>
      <c r="M21" s="541" t="s">
        <v>152</v>
      </c>
      <c r="N21" s="99" t="s">
        <v>151</v>
      </c>
      <c r="O21" s="99">
        <v>42142</v>
      </c>
      <c r="P21" s="100">
        <f t="shared" si="0"/>
        <v>222</v>
      </c>
      <c r="Q21" s="88">
        <f t="shared" si="1"/>
        <v>214</v>
      </c>
      <c r="R21" s="88">
        <f t="shared" si="2"/>
        <v>200</v>
      </c>
      <c r="S21" s="101" t="s">
        <v>152</v>
      </c>
      <c r="T21" s="101" t="s">
        <v>152</v>
      </c>
      <c r="U21" s="81" t="s">
        <v>2163</v>
      </c>
      <c r="V21" s="88" t="s">
        <v>153</v>
      </c>
      <c r="W21" s="100">
        <v>4</v>
      </c>
      <c r="X21" s="88" t="s">
        <v>154</v>
      </c>
      <c r="Y21" s="80" t="s">
        <v>212</v>
      </c>
      <c r="Z21" s="90" t="s">
        <v>299</v>
      </c>
      <c r="AA21" s="88">
        <v>12</v>
      </c>
      <c r="AB21" s="101" t="s">
        <v>318</v>
      </c>
      <c r="AC21" s="103">
        <v>6</v>
      </c>
      <c r="AD21" s="90" t="s">
        <v>319</v>
      </c>
      <c r="AE21" s="101" t="s">
        <v>320</v>
      </c>
      <c r="AF21" s="104"/>
      <c r="AG21" s="104"/>
      <c r="AH21" s="104"/>
      <c r="AI21" s="109"/>
      <c r="AJ21" s="80" t="s">
        <v>304</v>
      </c>
      <c r="AK21" s="101" t="s">
        <v>2164</v>
      </c>
      <c r="AL21" s="90" t="s">
        <v>321</v>
      </c>
      <c r="AM21" s="104" t="s">
        <v>2165</v>
      </c>
      <c r="AN21" s="109"/>
      <c r="AO21" s="104"/>
      <c r="AP21" s="96"/>
      <c r="AQ21" s="95"/>
      <c r="AR21" s="95"/>
      <c r="AS21" s="95"/>
      <c r="AT21" s="96"/>
      <c r="AU21" s="95"/>
      <c r="AV21" s="95"/>
      <c r="AW21" s="95"/>
      <c r="AX21" s="95"/>
      <c r="AY21" s="96"/>
      <c r="AZ21" s="95"/>
      <c r="BA21" s="96"/>
    </row>
    <row r="22" spans="1:53" ht="180" x14ac:dyDescent="0.4">
      <c r="A22" s="88" t="s">
        <v>322</v>
      </c>
      <c r="B22" s="88" t="s">
        <v>323</v>
      </c>
      <c r="C22" s="81" t="s">
        <v>242</v>
      </c>
      <c r="D22" s="88" t="s">
        <v>233</v>
      </c>
      <c r="E22" s="97" t="s">
        <v>146</v>
      </c>
      <c r="F22" s="83" t="s">
        <v>147</v>
      </c>
      <c r="G22" s="98" t="s">
        <v>270</v>
      </c>
      <c r="H22" s="88" t="s">
        <v>324</v>
      </c>
      <c r="I22" s="88" t="s">
        <v>272</v>
      </c>
      <c r="J22" s="99">
        <v>42124</v>
      </c>
      <c r="K22" s="99">
        <v>42125</v>
      </c>
      <c r="L22" s="99">
        <v>42139</v>
      </c>
      <c r="M22" s="541" t="s">
        <v>152</v>
      </c>
      <c r="N22" s="99" t="s">
        <v>151</v>
      </c>
      <c r="O22" s="99">
        <v>42142</v>
      </c>
      <c r="P22" s="100">
        <f t="shared" si="0"/>
        <v>18</v>
      </c>
      <c r="Q22" s="88">
        <f t="shared" si="1"/>
        <v>17</v>
      </c>
      <c r="R22" s="88">
        <f t="shared" si="2"/>
        <v>3</v>
      </c>
      <c r="S22" s="101" t="s">
        <v>152</v>
      </c>
      <c r="T22" s="101" t="s">
        <v>152</v>
      </c>
      <c r="U22" s="88" t="s">
        <v>2166</v>
      </c>
      <c r="V22" s="88" t="s">
        <v>153</v>
      </c>
      <c r="W22" s="100">
        <v>3</v>
      </c>
      <c r="X22" s="88" t="s">
        <v>154</v>
      </c>
      <c r="Y22" s="90" t="s">
        <v>155</v>
      </c>
      <c r="Z22" s="90" t="s">
        <v>156</v>
      </c>
      <c r="AA22" s="88">
        <v>5</v>
      </c>
      <c r="AB22" s="101" t="s">
        <v>325</v>
      </c>
      <c r="AC22" s="103">
        <v>1</v>
      </c>
      <c r="AD22" s="101" t="s">
        <v>326</v>
      </c>
      <c r="AE22" s="101" t="s">
        <v>276</v>
      </c>
      <c r="AF22" s="104" t="s">
        <v>327</v>
      </c>
      <c r="AG22" s="104" t="s">
        <v>328</v>
      </c>
      <c r="AH22" s="104" t="s">
        <v>272</v>
      </c>
      <c r="AI22" s="96" t="s">
        <v>250</v>
      </c>
      <c r="AJ22" s="95" t="s">
        <v>160</v>
      </c>
      <c r="AK22" s="104" t="s">
        <v>279</v>
      </c>
      <c r="AL22" s="104" t="s">
        <v>329</v>
      </c>
      <c r="AM22" s="104" t="s">
        <v>330</v>
      </c>
      <c r="AN22" s="96" t="s">
        <v>254</v>
      </c>
      <c r="AO22" s="104" t="s">
        <v>152</v>
      </c>
      <c r="AP22" s="96">
        <v>42318</v>
      </c>
      <c r="AQ22" s="95"/>
      <c r="AR22" s="95"/>
      <c r="AS22" s="95"/>
      <c r="AT22" s="96"/>
      <c r="AU22" s="95"/>
      <c r="AV22" s="95"/>
      <c r="AW22" s="95"/>
      <c r="AX22" s="95"/>
      <c r="AY22" s="96"/>
      <c r="AZ22" s="95"/>
      <c r="BA22" s="96"/>
    </row>
    <row r="23" spans="1:53" ht="180" x14ac:dyDescent="0.4">
      <c r="A23" s="80" t="s">
        <v>331</v>
      </c>
      <c r="B23" s="80" t="s">
        <v>332</v>
      </c>
      <c r="C23" s="80" t="s">
        <v>333</v>
      </c>
      <c r="D23" s="115" t="s">
        <v>233</v>
      </c>
      <c r="E23" s="115" t="s">
        <v>146</v>
      </c>
      <c r="F23" s="115" t="s">
        <v>2167</v>
      </c>
      <c r="G23" s="115" t="s">
        <v>148</v>
      </c>
      <c r="H23" s="115" t="s">
        <v>334</v>
      </c>
      <c r="I23" s="115" t="s">
        <v>335</v>
      </c>
      <c r="J23" s="106">
        <v>42124</v>
      </c>
      <c r="K23" s="116">
        <v>42125</v>
      </c>
      <c r="L23" s="116">
        <v>42139</v>
      </c>
      <c r="M23" s="544" t="s">
        <v>152</v>
      </c>
      <c r="N23" s="116" t="s">
        <v>171</v>
      </c>
      <c r="O23" s="116">
        <v>42222</v>
      </c>
      <c r="P23" s="117">
        <f t="shared" si="0"/>
        <v>98</v>
      </c>
      <c r="Q23" s="80">
        <f t="shared" si="1"/>
        <v>97</v>
      </c>
      <c r="R23" s="80">
        <f t="shared" si="2"/>
        <v>83</v>
      </c>
      <c r="S23" s="90" t="s">
        <v>152</v>
      </c>
      <c r="T23" s="90" t="s">
        <v>152</v>
      </c>
      <c r="U23" s="80" t="s">
        <v>336</v>
      </c>
      <c r="V23" s="80" t="s">
        <v>337</v>
      </c>
      <c r="W23" s="107">
        <v>4</v>
      </c>
      <c r="X23" s="80" t="s">
        <v>338</v>
      </c>
      <c r="Y23" s="80" t="s">
        <v>155</v>
      </c>
      <c r="Z23" s="90" t="s">
        <v>339</v>
      </c>
      <c r="AA23" s="80">
        <v>7</v>
      </c>
      <c r="AB23" s="90" t="s">
        <v>340</v>
      </c>
      <c r="AC23" s="80">
        <v>2</v>
      </c>
      <c r="AD23" s="90" t="s">
        <v>341</v>
      </c>
      <c r="AE23" s="90"/>
      <c r="AF23" s="92" t="s">
        <v>342</v>
      </c>
      <c r="AG23" s="92" t="s">
        <v>332</v>
      </c>
      <c r="AH23" s="92" t="s">
        <v>343</v>
      </c>
      <c r="AI23" s="93">
        <v>42468</v>
      </c>
      <c r="AJ23" s="92" t="s">
        <v>160</v>
      </c>
      <c r="AK23" s="92" t="s">
        <v>344</v>
      </c>
      <c r="AL23" s="94" t="s">
        <v>345</v>
      </c>
      <c r="AM23" s="94" t="s">
        <v>346</v>
      </c>
      <c r="AN23" s="93" t="s">
        <v>347</v>
      </c>
      <c r="AO23" s="94" t="s">
        <v>152</v>
      </c>
      <c r="AP23" s="93">
        <v>42776</v>
      </c>
      <c r="AQ23" s="92"/>
      <c r="AR23" s="92"/>
      <c r="AS23" s="92"/>
      <c r="AT23" s="93">
        <v>43280</v>
      </c>
      <c r="AU23" s="92" t="s">
        <v>160</v>
      </c>
      <c r="AV23" s="92" t="s">
        <v>348</v>
      </c>
      <c r="AW23" s="94" t="s">
        <v>349</v>
      </c>
      <c r="AX23" s="94" t="s">
        <v>350</v>
      </c>
      <c r="AY23" s="93"/>
      <c r="AZ23" s="94" t="s">
        <v>152</v>
      </c>
      <c r="BA23" s="93">
        <v>43397</v>
      </c>
    </row>
    <row r="24" spans="1:53" ht="208.5" x14ac:dyDescent="0.4">
      <c r="A24" s="88" t="s">
        <v>351</v>
      </c>
      <c r="B24" s="88" t="s">
        <v>352</v>
      </c>
      <c r="C24" s="88" t="s">
        <v>166</v>
      </c>
      <c r="D24" s="88" t="s">
        <v>233</v>
      </c>
      <c r="E24" s="97" t="s">
        <v>146</v>
      </c>
      <c r="F24" s="83" t="s">
        <v>147</v>
      </c>
      <c r="G24" s="98" t="s">
        <v>270</v>
      </c>
      <c r="H24" s="88" t="s">
        <v>354</v>
      </c>
      <c r="I24" s="88" t="s">
        <v>355</v>
      </c>
      <c r="J24" s="99">
        <v>42124</v>
      </c>
      <c r="K24" s="99">
        <v>42125</v>
      </c>
      <c r="L24" s="99">
        <v>42139</v>
      </c>
      <c r="M24" s="541" t="s">
        <v>152</v>
      </c>
      <c r="N24" s="99" t="s">
        <v>171</v>
      </c>
      <c r="O24" s="99">
        <v>42222</v>
      </c>
      <c r="P24" s="100">
        <f t="shared" si="0"/>
        <v>98</v>
      </c>
      <c r="Q24" s="88">
        <f t="shared" si="1"/>
        <v>97</v>
      </c>
      <c r="R24" s="88">
        <f t="shared" si="2"/>
        <v>83</v>
      </c>
      <c r="S24" s="101" t="s">
        <v>152</v>
      </c>
      <c r="T24" s="101" t="s">
        <v>152</v>
      </c>
      <c r="U24" s="80" t="s">
        <v>356</v>
      </c>
      <c r="V24" s="88" t="s">
        <v>172</v>
      </c>
      <c r="W24" s="100">
        <v>4</v>
      </c>
      <c r="X24" s="88" t="s">
        <v>154</v>
      </c>
      <c r="Y24" s="90" t="s">
        <v>357</v>
      </c>
      <c r="Z24" s="90" t="s">
        <v>358</v>
      </c>
      <c r="AA24" s="88">
        <v>7</v>
      </c>
      <c r="AB24" s="101" t="s">
        <v>359</v>
      </c>
      <c r="AC24" s="103">
        <v>7</v>
      </c>
      <c r="AD24" s="101" t="s">
        <v>360</v>
      </c>
      <c r="AE24" s="101" t="s">
        <v>361</v>
      </c>
      <c r="AF24" s="95"/>
      <c r="AG24" s="95"/>
      <c r="AH24" s="95"/>
      <c r="AI24" s="96"/>
      <c r="AJ24" s="95"/>
      <c r="AK24" s="95"/>
      <c r="AL24" s="104"/>
      <c r="AM24" s="104"/>
      <c r="AN24" s="96"/>
      <c r="AO24" s="95"/>
      <c r="AP24" s="96"/>
      <c r="AQ24" s="95"/>
      <c r="AR24" s="95"/>
      <c r="AS24" s="95"/>
      <c r="AT24" s="96"/>
      <c r="AU24" s="95"/>
      <c r="AV24" s="95"/>
      <c r="AW24" s="95"/>
      <c r="AX24" s="95"/>
      <c r="AY24" s="96"/>
      <c r="AZ24" s="95"/>
      <c r="BA24" s="96"/>
    </row>
    <row r="25" spans="1:53" ht="120" x14ac:dyDescent="0.4">
      <c r="A25" s="88" t="s">
        <v>362</v>
      </c>
      <c r="B25" s="88" t="s">
        <v>363</v>
      </c>
      <c r="C25" s="88" t="s">
        <v>166</v>
      </c>
      <c r="D25" s="88" t="s">
        <v>233</v>
      </c>
      <c r="E25" s="108" t="s">
        <v>2168</v>
      </c>
      <c r="F25" s="83" t="s">
        <v>147</v>
      </c>
      <c r="G25" s="105" t="s">
        <v>148</v>
      </c>
      <c r="H25" s="80" t="s">
        <v>365</v>
      </c>
      <c r="I25" s="80" t="s">
        <v>366</v>
      </c>
      <c r="J25" s="106">
        <v>42500</v>
      </c>
      <c r="K25" s="106">
        <v>42503</v>
      </c>
      <c r="L25" s="106">
        <v>42517</v>
      </c>
      <c r="M25" s="543" t="s">
        <v>152</v>
      </c>
      <c r="N25" s="80" t="s">
        <v>151</v>
      </c>
      <c r="O25" s="106">
        <v>42776</v>
      </c>
      <c r="P25" s="107">
        <f t="shared" si="0"/>
        <v>276</v>
      </c>
      <c r="Q25" s="80">
        <f t="shared" si="1"/>
        <v>273</v>
      </c>
      <c r="R25" s="80">
        <f t="shared" si="2"/>
        <v>259</v>
      </c>
      <c r="S25" s="101" t="s">
        <v>152</v>
      </c>
      <c r="T25" s="101" t="s">
        <v>152</v>
      </c>
      <c r="U25" s="80" t="s">
        <v>180</v>
      </c>
      <c r="V25" s="80" t="s">
        <v>337</v>
      </c>
      <c r="W25" s="107">
        <v>2</v>
      </c>
      <c r="X25" s="80" t="s">
        <v>154</v>
      </c>
      <c r="Y25" s="80" t="s">
        <v>367</v>
      </c>
      <c r="Z25" s="90" t="s">
        <v>368</v>
      </c>
      <c r="AA25" s="80">
        <v>4</v>
      </c>
      <c r="AB25" s="80" t="s">
        <v>369</v>
      </c>
      <c r="AC25" s="103">
        <v>1</v>
      </c>
      <c r="AD25" s="90" t="s">
        <v>370</v>
      </c>
      <c r="AE25" s="80"/>
      <c r="AF25" s="110"/>
      <c r="AG25" s="110"/>
      <c r="AH25" s="110"/>
      <c r="AI25" s="111"/>
      <c r="AJ25" s="110"/>
      <c r="AK25" s="110"/>
      <c r="AL25" s="110"/>
      <c r="AM25" s="110"/>
      <c r="AN25" s="111"/>
      <c r="AO25" s="110"/>
      <c r="AP25" s="96"/>
      <c r="AQ25" s="95"/>
      <c r="AR25" s="95"/>
      <c r="AS25" s="95"/>
      <c r="AT25" s="96"/>
      <c r="AU25" s="95"/>
      <c r="AV25" s="95"/>
      <c r="AW25" s="95"/>
      <c r="AX25" s="95"/>
      <c r="AY25" s="96"/>
      <c r="AZ25" s="95"/>
      <c r="BA25" s="96"/>
    </row>
    <row r="26" spans="1:53" ht="75" x14ac:dyDescent="0.4">
      <c r="A26" s="88" t="s">
        <v>371</v>
      </c>
      <c r="B26" s="88" t="s">
        <v>372</v>
      </c>
      <c r="C26" s="88" t="s">
        <v>166</v>
      </c>
      <c r="D26" s="88" t="s">
        <v>233</v>
      </c>
      <c r="E26" s="108" t="s">
        <v>373</v>
      </c>
      <c r="F26" s="83" t="s">
        <v>147</v>
      </c>
      <c r="G26" s="105" t="s">
        <v>148</v>
      </c>
      <c r="H26" s="80" t="s">
        <v>374</v>
      </c>
      <c r="I26" s="80" t="s">
        <v>375</v>
      </c>
      <c r="J26" s="106">
        <v>42459</v>
      </c>
      <c r="K26" s="106">
        <v>42472</v>
      </c>
      <c r="L26" s="106">
        <v>42486</v>
      </c>
      <c r="M26" s="543" t="s">
        <v>152</v>
      </c>
      <c r="N26" s="80" t="s">
        <v>151</v>
      </c>
      <c r="O26" s="106">
        <v>42776</v>
      </c>
      <c r="P26" s="107">
        <f t="shared" si="0"/>
        <v>317</v>
      </c>
      <c r="Q26" s="80">
        <f t="shared" si="1"/>
        <v>304</v>
      </c>
      <c r="R26" s="80">
        <f t="shared" si="2"/>
        <v>290</v>
      </c>
      <c r="S26" s="101" t="s">
        <v>152</v>
      </c>
      <c r="T26" s="101" t="s">
        <v>152</v>
      </c>
      <c r="U26" s="80" t="s">
        <v>376</v>
      </c>
      <c r="V26" s="88" t="s">
        <v>153</v>
      </c>
      <c r="W26" s="107">
        <v>4</v>
      </c>
      <c r="X26" s="80" t="s">
        <v>154</v>
      </c>
      <c r="Y26" s="80" t="s">
        <v>212</v>
      </c>
      <c r="Z26" s="80" t="s">
        <v>299</v>
      </c>
      <c r="AA26" s="80">
        <v>2</v>
      </c>
      <c r="AB26" s="80" t="s">
        <v>377</v>
      </c>
      <c r="AC26" s="103">
        <v>2</v>
      </c>
      <c r="AD26" s="90" t="s">
        <v>378</v>
      </c>
      <c r="AE26" s="80" t="s">
        <v>379</v>
      </c>
      <c r="AF26" s="110"/>
      <c r="AG26" s="110"/>
      <c r="AH26" s="110"/>
      <c r="AI26" s="111"/>
      <c r="AJ26" s="110"/>
      <c r="AK26" s="110"/>
      <c r="AL26" s="110"/>
      <c r="AM26" s="110"/>
      <c r="AN26" s="111"/>
      <c r="AO26" s="110"/>
      <c r="AP26" s="96"/>
      <c r="AQ26" s="95"/>
      <c r="AR26" s="95"/>
      <c r="AS26" s="95"/>
      <c r="AT26" s="96"/>
      <c r="AU26" s="95"/>
      <c r="AV26" s="95"/>
      <c r="AW26" s="95"/>
      <c r="AX26" s="95"/>
      <c r="AY26" s="96"/>
      <c r="AZ26" s="95"/>
      <c r="BA26" s="96"/>
    </row>
    <row r="27" spans="1:53" ht="169.5" x14ac:dyDescent="0.4">
      <c r="A27" s="88" t="s">
        <v>380</v>
      </c>
      <c r="B27" s="88" t="s">
        <v>165</v>
      </c>
      <c r="C27" s="88" t="s">
        <v>166</v>
      </c>
      <c r="D27" s="88" t="s">
        <v>233</v>
      </c>
      <c r="E27" s="97" t="s">
        <v>189</v>
      </c>
      <c r="F27" s="83" t="s">
        <v>167</v>
      </c>
      <c r="G27" s="105" t="s">
        <v>168</v>
      </c>
      <c r="H27" s="80" t="s">
        <v>382</v>
      </c>
      <c r="I27" s="80" t="s">
        <v>170</v>
      </c>
      <c r="J27" s="106">
        <v>42781</v>
      </c>
      <c r="K27" s="106">
        <v>43028</v>
      </c>
      <c r="L27" s="106">
        <v>43042</v>
      </c>
      <c r="M27" s="543" t="s">
        <v>152</v>
      </c>
      <c r="N27" s="80" t="s">
        <v>151</v>
      </c>
      <c r="O27" s="106">
        <v>43073</v>
      </c>
      <c r="P27" s="107">
        <f t="shared" si="0"/>
        <v>292</v>
      </c>
      <c r="Q27" s="80">
        <f t="shared" si="1"/>
        <v>45</v>
      </c>
      <c r="R27" s="80">
        <f t="shared" si="2"/>
        <v>31</v>
      </c>
      <c r="S27" s="101" t="s">
        <v>152</v>
      </c>
      <c r="T27" s="101" t="s">
        <v>152</v>
      </c>
      <c r="U27" s="80" t="s">
        <v>185</v>
      </c>
      <c r="V27" s="88" t="s">
        <v>172</v>
      </c>
      <c r="W27" s="107">
        <v>3</v>
      </c>
      <c r="X27" s="80" t="s">
        <v>154</v>
      </c>
      <c r="Y27" s="80" t="s">
        <v>155</v>
      </c>
      <c r="Z27" s="90" t="s">
        <v>173</v>
      </c>
      <c r="AA27" s="88">
        <v>1</v>
      </c>
      <c r="AB27" s="101" t="s">
        <v>383</v>
      </c>
      <c r="AC27" s="103">
        <v>1</v>
      </c>
      <c r="AD27" s="101" t="s">
        <v>175</v>
      </c>
      <c r="AE27" s="80" t="s">
        <v>384</v>
      </c>
      <c r="AF27" s="110"/>
      <c r="AG27" s="110"/>
      <c r="AH27" s="110"/>
      <c r="AI27" s="111"/>
      <c r="AJ27" s="110"/>
      <c r="AK27" s="110"/>
      <c r="AL27" s="110"/>
      <c r="AM27" s="110"/>
      <c r="AN27" s="111"/>
      <c r="AO27" s="110"/>
      <c r="AP27" s="96"/>
      <c r="AQ27" s="95"/>
      <c r="AR27" s="95"/>
      <c r="AS27" s="95"/>
      <c r="AT27" s="96"/>
      <c r="AU27" s="95"/>
      <c r="AV27" s="95"/>
      <c r="AW27" s="95"/>
      <c r="AX27" s="95"/>
      <c r="AY27" s="96"/>
      <c r="AZ27" s="95"/>
      <c r="BA27" s="96"/>
    </row>
    <row r="28" spans="1:53" ht="120" x14ac:dyDescent="0.4">
      <c r="A28" s="88" t="s">
        <v>385</v>
      </c>
      <c r="B28" s="88" t="s">
        <v>386</v>
      </c>
      <c r="C28" s="88" t="s">
        <v>166</v>
      </c>
      <c r="D28" s="88" t="s">
        <v>233</v>
      </c>
      <c r="E28" s="97" t="s">
        <v>189</v>
      </c>
      <c r="F28" s="83" t="s">
        <v>147</v>
      </c>
      <c r="G28" s="105" t="s">
        <v>2169</v>
      </c>
      <c r="H28" s="80" t="s">
        <v>388</v>
      </c>
      <c r="I28" s="80" t="s">
        <v>389</v>
      </c>
      <c r="J28" s="106">
        <v>42971</v>
      </c>
      <c r="K28" s="106">
        <v>43028</v>
      </c>
      <c r="L28" s="106">
        <v>43042</v>
      </c>
      <c r="M28" s="543" t="s">
        <v>152</v>
      </c>
      <c r="N28" s="80" t="s">
        <v>151</v>
      </c>
      <c r="O28" s="106">
        <v>43073</v>
      </c>
      <c r="P28" s="107">
        <f t="shared" si="0"/>
        <v>102</v>
      </c>
      <c r="Q28" s="80">
        <f t="shared" si="1"/>
        <v>45</v>
      </c>
      <c r="R28" s="80">
        <f t="shared" si="2"/>
        <v>31</v>
      </c>
      <c r="S28" s="101" t="s">
        <v>152</v>
      </c>
      <c r="T28" s="101" t="s">
        <v>152</v>
      </c>
      <c r="U28" s="83" t="s">
        <v>2170</v>
      </c>
      <c r="V28" s="88" t="s">
        <v>153</v>
      </c>
      <c r="W28" s="107">
        <v>5</v>
      </c>
      <c r="X28" s="80" t="s">
        <v>154</v>
      </c>
      <c r="Y28" s="80" t="s">
        <v>212</v>
      </c>
      <c r="Z28" s="80" t="s">
        <v>299</v>
      </c>
      <c r="AA28" s="80">
        <v>5</v>
      </c>
      <c r="AB28" s="90" t="s">
        <v>391</v>
      </c>
      <c r="AC28" s="103">
        <v>6</v>
      </c>
      <c r="AD28" s="90" t="s">
        <v>392</v>
      </c>
      <c r="AE28" s="80" t="s">
        <v>393</v>
      </c>
      <c r="AF28" s="110"/>
      <c r="AG28" s="110"/>
      <c r="AH28" s="110"/>
      <c r="AI28" s="111"/>
      <c r="AJ28" s="110"/>
      <c r="AK28" s="110"/>
      <c r="AL28" s="110"/>
      <c r="AM28" s="110"/>
      <c r="AN28" s="111"/>
      <c r="AO28" s="110"/>
      <c r="AP28" s="96"/>
      <c r="AQ28" s="95"/>
      <c r="AR28" s="95"/>
      <c r="AS28" s="95"/>
      <c r="AT28" s="96"/>
      <c r="AU28" s="95"/>
      <c r="AV28" s="95"/>
      <c r="AW28" s="95"/>
      <c r="AX28" s="95"/>
      <c r="AY28" s="96"/>
      <c r="AZ28" s="95"/>
      <c r="BA28" s="96"/>
    </row>
    <row r="29" spans="1:53" ht="105" x14ac:dyDescent="0.4">
      <c r="A29" s="88" t="s">
        <v>394</v>
      </c>
      <c r="B29" s="88" t="s">
        <v>395</v>
      </c>
      <c r="C29" s="88" t="s">
        <v>166</v>
      </c>
      <c r="D29" s="88" t="s">
        <v>233</v>
      </c>
      <c r="E29" s="108" t="s">
        <v>2171</v>
      </c>
      <c r="F29" s="83" t="s">
        <v>147</v>
      </c>
      <c r="G29" s="105" t="s">
        <v>396</v>
      </c>
      <c r="H29" s="80" t="s">
        <v>397</v>
      </c>
      <c r="I29" s="80" t="s">
        <v>150</v>
      </c>
      <c r="J29" s="106">
        <v>43181</v>
      </c>
      <c r="K29" s="106">
        <v>43193</v>
      </c>
      <c r="L29" s="106">
        <v>43207</v>
      </c>
      <c r="M29" s="543" t="s">
        <v>152</v>
      </c>
      <c r="N29" s="80" t="s">
        <v>151</v>
      </c>
      <c r="O29" s="106">
        <v>43291</v>
      </c>
      <c r="P29" s="107">
        <f t="shared" si="0"/>
        <v>110</v>
      </c>
      <c r="Q29" s="80">
        <f t="shared" si="1"/>
        <v>98</v>
      </c>
      <c r="R29" s="80">
        <f t="shared" si="2"/>
        <v>84</v>
      </c>
      <c r="S29" s="101" t="s">
        <v>152</v>
      </c>
      <c r="T29" s="101" t="s">
        <v>152</v>
      </c>
      <c r="U29" s="80" t="s">
        <v>398</v>
      </c>
      <c r="V29" s="88" t="s">
        <v>153</v>
      </c>
      <c r="W29" s="107">
        <v>3</v>
      </c>
      <c r="X29" s="80" t="s">
        <v>154</v>
      </c>
      <c r="Y29" s="80" t="s">
        <v>155</v>
      </c>
      <c r="Z29" s="80" t="s">
        <v>156</v>
      </c>
      <c r="AA29" s="80">
        <v>7</v>
      </c>
      <c r="AB29" s="90" t="s">
        <v>399</v>
      </c>
      <c r="AC29" s="103">
        <v>1</v>
      </c>
      <c r="AD29" s="90" t="s">
        <v>400</v>
      </c>
      <c r="AE29" s="80" t="s">
        <v>2172</v>
      </c>
      <c r="AF29" s="110"/>
      <c r="AG29" s="110"/>
      <c r="AH29" s="110"/>
      <c r="AI29" s="111"/>
      <c r="AJ29" s="110"/>
      <c r="AK29" s="110"/>
      <c r="AL29" s="110"/>
      <c r="AM29" s="110"/>
      <c r="AN29" s="111"/>
      <c r="AO29" s="110"/>
      <c r="AP29" s="96"/>
      <c r="AQ29" s="95"/>
      <c r="AR29" s="95"/>
      <c r="AS29" s="95"/>
      <c r="AT29" s="96"/>
      <c r="AU29" s="95"/>
      <c r="AV29" s="95"/>
      <c r="AW29" s="95"/>
      <c r="AX29" s="95"/>
      <c r="AY29" s="96"/>
      <c r="AZ29" s="95"/>
      <c r="BA29" s="96"/>
    </row>
    <row r="30" spans="1:53" ht="165" x14ac:dyDescent="0.4">
      <c r="A30" s="88" t="s">
        <v>401</v>
      </c>
      <c r="B30" s="88" t="s">
        <v>402</v>
      </c>
      <c r="C30" s="88" t="s">
        <v>166</v>
      </c>
      <c r="D30" s="88" t="s">
        <v>2173</v>
      </c>
      <c r="E30" s="97" t="s">
        <v>189</v>
      </c>
      <c r="F30" s="83" t="s">
        <v>497</v>
      </c>
      <c r="G30" s="118" t="s">
        <v>405</v>
      </c>
      <c r="H30" s="80" t="s">
        <v>406</v>
      </c>
      <c r="I30" s="80" t="s">
        <v>170</v>
      </c>
      <c r="J30" s="106">
        <v>43160</v>
      </c>
      <c r="K30" s="106">
        <v>43193</v>
      </c>
      <c r="L30" s="106">
        <v>43207</v>
      </c>
      <c r="M30" s="543" t="s">
        <v>152</v>
      </c>
      <c r="N30" s="80" t="s">
        <v>151</v>
      </c>
      <c r="O30" s="106">
        <v>43291</v>
      </c>
      <c r="P30" s="107">
        <f t="shared" si="0"/>
        <v>131</v>
      </c>
      <c r="Q30" s="80">
        <f t="shared" si="1"/>
        <v>98</v>
      </c>
      <c r="R30" s="80">
        <f t="shared" si="2"/>
        <v>84</v>
      </c>
      <c r="S30" s="101" t="s">
        <v>152</v>
      </c>
      <c r="T30" s="101" t="s">
        <v>152</v>
      </c>
      <c r="U30" s="80" t="s">
        <v>407</v>
      </c>
      <c r="V30" s="88" t="s">
        <v>153</v>
      </c>
      <c r="W30" s="107">
        <v>2</v>
      </c>
      <c r="X30" s="80" t="s">
        <v>2174</v>
      </c>
      <c r="Y30" s="80" t="s">
        <v>155</v>
      </c>
      <c r="Z30" s="80" t="s">
        <v>156</v>
      </c>
      <c r="AA30" s="80">
        <v>6</v>
      </c>
      <c r="AB30" s="90" t="s">
        <v>408</v>
      </c>
      <c r="AC30" s="103">
        <v>5</v>
      </c>
      <c r="AD30" s="90" t="s">
        <v>409</v>
      </c>
      <c r="AE30" s="80" t="s">
        <v>2175</v>
      </c>
      <c r="AF30" s="110"/>
      <c r="AG30" s="110"/>
      <c r="AH30" s="110"/>
      <c r="AI30" s="111"/>
      <c r="AJ30" s="110"/>
      <c r="AK30" s="110"/>
      <c r="AL30" s="110"/>
      <c r="AM30" s="110"/>
      <c r="AN30" s="111"/>
      <c r="AO30" s="110"/>
      <c r="AP30" s="96"/>
      <c r="AQ30" s="95"/>
      <c r="AR30" s="95"/>
      <c r="AS30" s="95"/>
      <c r="AT30" s="96"/>
      <c r="AU30" s="95"/>
      <c r="AV30" s="95"/>
      <c r="AW30" s="95"/>
      <c r="AX30" s="95"/>
      <c r="AY30" s="96"/>
      <c r="AZ30" s="95"/>
      <c r="BA30" s="96"/>
    </row>
    <row r="31" spans="1:53" ht="45" x14ac:dyDescent="0.4">
      <c r="A31" s="80" t="s">
        <v>2176</v>
      </c>
      <c r="B31" s="80" t="s">
        <v>411</v>
      </c>
      <c r="C31" s="88" t="s">
        <v>166</v>
      </c>
      <c r="D31" s="88" t="s">
        <v>233</v>
      </c>
      <c r="E31" s="108" t="s">
        <v>234</v>
      </c>
      <c r="F31" s="80" t="s">
        <v>2177</v>
      </c>
      <c r="G31" s="119" t="s">
        <v>2178</v>
      </c>
      <c r="H31" s="80" t="s">
        <v>2179</v>
      </c>
      <c r="I31" s="80" t="s">
        <v>2180</v>
      </c>
      <c r="J31" s="106">
        <v>43418</v>
      </c>
      <c r="K31" s="106">
        <v>43274</v>
      </c>
      <c r="L31" s="106">
        <v>43288</v>
      </c>
      <c r="M31" s="543" t="s">
        <v>312</v>
      </c>
      <c r="N31" s="80" t="s">
        <v>617</v>
      </c>
      <c r="O31" s="106">
        <v>43432</v>
      </c>
      <c r="P31" s="107">
        <f t="shared" si="0"/>
        <v>14</v>
      </c>
      <c r="Q31" s="80">
        <f t="shared" si="1"/>
        <v>158</v>
      </c>
      <c r="R31" s="80">
        <f t="shared" si="2"/>
        <v>144</v>
      </c>
      <c r="S31" s="90"/>
      <c r="T31" s="90"/>
      <c r="U31" s="80" t="s">
        <v>2181</v>
      </c>
      <c r="V31" s="80" t="s">
        <v>2182</v>
      </c>
      <c r="W31" s="107">
        <v>4</v>
      </c>
      <c r="X31" s="80" t="s">
        <v>2174</v>
      </c>
      <c r="Y31" s="80" t="s">
        <v>493</v>
      </c>
      <c r="Z31" s="80" t="s">
        <v>494</v>
      </c>
      <c r="AA31" s="80">
        <v>2</v>
      </c>
      <c r="AB31" s="90" t="s">
        <v>2183</v>
      </c>
      <c r="AC31" s="91">
        <v>1</v>
      </c>
      <c r="AD31" s="90" t="s">
        <v>2184</v>
      </c>
      <c r="AE31" s="80"/>
      <c r="AF31" s="110"/>
      <c r="AG31" s="110"/>
      <c r="AH31" s="110"/>
      <c r="AI31" s="111"/>
      <c r="AJ31" s="110"/>
      <c r="AK31" s="110"/>
      <c r="AL31" s="110"/>
      <c r="AM31" s="110"/>
      <c r="AN31" s="111"/>
      <c r="AO31" s="110"/>
      <c r="AP31" s="93"/>
      <c r="AQ31" s="95"/>
      <c r="AR31" s="95"/>
      <c r="AS31" s="95"/>
      <c r="AT31" s="96"/>
      <c r="AU31" s="95"/>
      <c r="AV31" s="95"/>
      <c r="AW31" s="95"/>
      <c r="AX31" s="95"/>
      <c r="AY31" s="96"/>
      <c r="AZ31" s="95"/>
      <c r="BA31" s="96"/>
    </row>
    <row r="32" spans="1:53" ht="120" x14ac:dyDescent="0.4">
      <c r="A32" s="80" t="s">
        <v>2185</v>
      </c>
      <c r="B32" s="80" t="s">
        <v>416</v>
      </c>
      <c r="C32" s="80" t="s">
        <v>166</v>
      </c>
      <c r="D32" s="88" t="s">
        <v>233</v>
      </c>
      <c r="E32" s="108" t="s">
        <v>2171</v>
      </c>
      <c r="F32" s="83" t="s">
        <v>147</v>
      </c>
      <c r="G32" s="105" t="s">
        <v>417</v>
      </c>
      <c r="H32" s="80" t="s">
        <v>2186</v>
      </c>
      <c r="I32" s="80" t="s">
        <v>2187</v>
      </c>
      <c r="J32" s="106">
        <v>43245</v>
      </c>
      <c r="K32" s="106">
        <v>43425</v>
      </c>
      <c r="L32" s="106">
        <v>43439</v>
      </c>
      <c r="M32" s="543" t="s">
        <v>312</v>
      </c>
      <c r="N32" s="80" t="s">
        <v>617</v>
      </c>
      <c r="O32" s="106">
        <v>43531</v>
      </c>
      <c r="P32" s="107">
        <f t="shared" si="0"/>
        <v>286</v>
      </c>
      <c r="Q32" s="80">
        <f>O32-K32</f>
        <v>106</v>
      </c>
      <c r="R32" s="80">
        <f t="shared" si="2"/>
        <v>92</v>
      </c>
      <c r="S32" s="90"/>
      <c r="T32" s="90"/>
      <c r="U32" s="80" t="s">
        <v>2188</v>
      </c>
      <c r="V32" s="88" t="s">
        <v>153</v>
      </c>
      <c r="W32" s="107">
        <v>1</v>
      </c>
      <c r="X32" s="80" t="s">
        <v>2189</v>
      </c>
      <c r="Y32" s="80" t="s">
        <v>493</v>
      </c>
      <c r="Z32" s="80" t="s">
        <v>2190</v>
      </c>
      <c r="AA32" s="80">
        <v>3</v>
      </c>
      <c r="AB32" s="90" t="s">
        <v>2191</v>
      </c>
      <c r="AC32" s="91">
        <v>1</v>
      </c>
      <c r="AD32" s="90" t="s">
        <v>2192</v>
      </c>
      <c r="AE32" s="80"/>
      <c r="AF32" s="110"/>
      <c r="AG32" s="110"/>
      <c r="AH32" s="110"/>
      <c r="AI32" s="111"/>
      <c r="AJ32" s="110"/>
      <c r="AK32" s="110"/>
      <c r="AL32" s="110"/>
      <c r="AM32" s="110"/>
      <c r="AN32" s="111"/>
      <c r="AO32" s="110"/>
      <c r="AP32" s="93"/>
      <c r="AQ32" s="95"/>
      <c r="AR32" s="95"/>
      <c r="AS32" s="95"/>
      <c r="AT32" s="96"/>
      <c r="AU32" s="95"/>
      <c r="AV32" s="95"/>
      <c r="AW32" s="95"/>
      <c r="AX32" s="95"/>
      <c r="AY32" s="96"/>
      <c r="AZ32" s="95"/>
      <c r="BA32" s="96"/>
    </row>
    <row r="33" spans="1:53" ht="45" x14ac:dyDescent="0.4">
      <c r="A33" s="80" t="s">
        <v>2193</v>
      </c>
      <c r="B33" s="80" t="s">
        <v>419</v>
      </c>
      <c r="C33" s="80" t="s">
        <v>353</v>
      </c>
      <c r="D33" s="88" t="s">
        <v>233</v>
      </c>
      <c r="E33" s="108" t="s">
        <v>189</v>
      </c>
      <c r="F33" s="80" t="s">
        <v>413</v>
      </c>
      <c r="G33" s="105" t="s">
        <v>2194</v>
      </c>
      <c r="H33" s="80" t="s">
        <v>420</v>
      </c>
      <c r="I33" s="80" t="s">
        <v>170</v>
      </c>
      <c r="J33" s="106">
        <v>43535</v>
      </c>
      <c r="K33" s="106">
        <v>43549</v>
      </c>
      <c r="L33" s="106">
        <v>43563</v>
      </c>
      <c r="M33" s="543" t="s">
        <v>312</v>
      </c>
      <c r="N33" s="80" t="s">
        <v>617</v>
      </c>
      <c r="O33" s="106">
        <v>43594</v>
      </c>
      <c r="P33" s="107">
        <f t="shared" si="0"/>
        <v>59</v>
      </c>
      <c r="Q33" s="80">
        <f>O33-K33</f>
        <v>45</v>
      </c>
      <c r="R33" s="80">
        <f t="shared" si="2"/>
        <v>31</v>
      </c>
      <c r="S33" s="90"/>
      <c r="T33" s="90"/>
      <c r="U33" s="80" t="s">
        <v>2195</v>
      </c>
      <c r="V33" s="88" t="s">
        <v>2196</v>
      </c>
      <c r="W33" s="107">
        <v>1</v>
      </c>
      <c r="X33" s="80" t="s">
        <v>2174</v>
      </c>
      <c r="Y33" s="80" t="s">
        <v>2197</v>
      </c>
      <c r="Z33" s="80" t="s">
        <v>494</v>
      </c>
      <c r="AA33" s="80">
        <v>1</v>
      </c>
      <c r="AB33" s="90" t="s">
        <v>2198</v>
      </c>
      <c r="AC33" s="91">
        <v>1</v>
      </c>
      <c r="AD33" s="90" t="s">
        <v>2199</v>
      </c>
      <c r="AE33" s="80"/>
      <c r="AF33" s="110"/>
      <c r="AG33" s="110"/>
      <c r="AH33" s="110"/>
      <c r="AI33" s="111"/>
      <c r="AJ33" s="110"/>
      <c r="AK33" s="110"/>
      <c r="AL33" s="110"/>
      <c r="AM33" s="110"/>
      <c r="AN33" s="111"/>
      <c r="AO33" s="110"/>
      <c r="AP33" s="93"/>
      <c r="AQ33" s="95"/>
      <c r="AR33" s="95"/>
      <c r="AS33" s="95"/>
      <c r="AT33" s="96"/>
      <c r="AU33" s="95"/>
      <c r="AV33" s="95"/>
      <c r="AW33" s="95"/>
      <c r="AX33" s="95"/>
      <c r="AY33" s="96"/>
      <c r="AZ33" s="95"/>
      <c r="BA33" s="96"/>
    </row>
    <row r="34" spans="1:53" ht="60" x14ac:dyDescent="0.4">
      <c r="A34" s="80" t="s">
        <v>2200</v>
      </c>
      <c r="B34" s="80" t="s">
        <v>2201</v>
      </c>
      <c r="C34" s="80" t="s">
        <v>166</v>
      </c>
      <c r="D34" s="88" t="s">
        <v>2173</v>
      </c>
      <c r="E34" s="108" t="s">
        <v>2202</v>
      </c>
      <c r="F34" s="83" t="s">
        <v>147</v>
      </c>
      <c r="G34" s="105" t="s">
        <v>2203</v>
      </c>
      <c r="H34" s="80" t="s">
        <v>422</v>
      </c>
      <c r="I34" s="80" t="s">
        <v>423</v>
      </c>
      <c r="J34" s="106">
        <v>43697</v>
      </c>
      <c r="K34" s="106">
        <v>43706</v>
      </c>
      <c r="L34" s="106">
        <v>43720</v>
      </c>
      <c r="M34" s="543" t="s">
        <v>2204</v>
      </c>
      <c r="N34" s="80" t="s">
        <v>151</v>
      </c>
      <c r="O34" s="106">
        <v>43769</v>
      </c>
      <c r="P34" s="107">
        <f t="shared" si="0"/>
        <v>72</v>
      </c>
      <c r="Q34" s="80">
        <f>O34-K34</f>
        <v>63</v>
      </c>
      <c r="R34" s="80">
        <f t="shared" si="2"/>
        <v>49</v>
      </c>
      <c r="S34" s="90"/>
      <c r="T34" s="90"/>
      <c r="U34" s="80" t="s">
        <v>2205</v>
      </c>
      <c r="V34" s="88" t="s">
        <v>153</v>
      </c>
      <c r="W34" s="107">
        <v>1</v>
      </c>
      <c r="X34" s="80" t="s">
        <v>2174</v>
      </c>
      <c r="Y34" s="80" t="s">
        <v>493</v>
      </c>
      <c r="Z34" s="80" t="s">
        <v>2206</v>
      </c>
      <c r="AA34" s="80">
        <v>4</v>
      </c>
      <c r="AB34" s="90" t="s">
        <v>2207</v>
      </c>
      <c r="AC34" s="91">
        <v>2</v>
      </c>
      <c r="AD34" s="90" t="s">
        <v>2208</v>
      </c>
      <c r="AE34" s="80"/>
      <c r="AF34" s="110"/>
      <c r="AG34" s="110"/>
      <c r="AH34" s="110"/>
      <c r="AI34" s="111"/>
      <c r="AJ34" s="110"/>
      <c r="AK34" s="110"/>
      <c r="AL34" s="110"/>
      <c r="AM34" s="110"/>
      <c r="AN34" s="111"/>
      <c r="AO34" s="110"/>
      <c r="AP34" s="93"/>
      <c r="AQ34" s="95"/>
      <c r="AR34" s="95"/>
      <c r="AS34" s="95"/>
      <c r="AT34" s="96"/>
      <c r="AU34" s="95"/>
      <c r="AV34" s="95"/>
      <c r="AW34" s="95"/>
      <c r="AX34" s="95"/>
      <c r="AY34" s="96"/>
      <c r="AZ34" s="95"/>
      <c r="BA34" s="96"/>
    </row>
    <row r="35" spans="1:53" ht="45" x14ac:dyDescent="0.4">
      <c r="A35" s="80" t="s">
        <v>2209</v>
      </c>
      <c r="B35" s="80" t="s">
        <v>424</v>
      </c>
      <c r="C35" s="80" t="s">
        <v>166</v>
      </c>
      <c r="D35" s="88" t="s">
        <v>2173</v>
      </c>
      <c r="E35" s="108" t="s">
        <v>425</v>
      </c>
      <c r="F35" s="80" t="s">
        <v>2177</v>
      </c>
      <c r="G35" s="105" t="s">
        <v>2194</v>
      </c>
      <c r="H35" s="80" t="s">
        <v>426</v>
      </c>
      <c r="I35" s="80" t="s">
        <v>170</v>
      </c>
      <c r="J35" s="106">
        <v>43725</v>
      </c>
      <c r="K35" s="106">
        <v>43728</v>
      </c>
      <c r="L35" s="106">
        <v>43742</v>
      </c>
      <c r="M35" s="543" t="s">
        <v>312</v>
      </c>
      <c r="N35" s="80" t="s">
        <v>151</v>
      </c>
      <c r="O35" s="106">
        <v>43769</v>
      </c>
      <c r="P35" s="107">
        <f t="shared" si="0"/>
        <v>44</v>
      </c>
      <c r="Q35" s="80"/>
      <c r="R35" s="80"/>
      <c r="S35" s="90"/>
      <c r="T35" s="90"/>
      <c r="U35" s="88" t="s">
        <v>211</v>
      </c>
      <c r="V35" s="88" t="s">
        <v>2210</v>
      </c>
      <c r="W35" s="107">
        <v>1</v>
      </c>
      <c r="X35" s="80" t="s">
        <v>2174</v>
      </c>
      <c r="Y35" s="80" t="s">
        <v>493</v>
      </c>
      <c r="Z35" s="80" t="s">
        <v>2211</v>
      </c>
      <c r="AA35" s="80">
        <v>3</v>
      </c>
      <c r="AB35" s="90" t="s">
        <v>427</v>
      </c>
      <c r="AC35" s="91">
        <v>1</v>
      </c>
      <c r="AD35" s="90" t="s">
        <v>2212</v>
      </c>
      <c r="AE35" s="80"/>
      <c r="AF35" s="110"/>
      <c r="AG35" s="110"/>
      <c r="AH35" s="110"/>
      <c r="AI35" s="111"/>
      <c r="AJ35" s="110"/>
      <c r="AK35" s="110"/>
      <c r="AL35" s="110"/>
      <c r="AM35" s="110"/>
      <c r="AN35" s="111"/>
      <c r="AO35" s="110"/>
      <c r="AP35" s="93"/>
      <c r="AQ35" s="95"/>
      <c r="AR35" s="95"/>
      <c r="AS35" s="95"/>
      <c r="AT35" s="96"/>
      <c r="AU35" s="95"/>
      <c r="AV35" s="95"/>
      <c r="AW35" s="95"/>
      <c r="AX35" s="95"/>
      <c r="AY35" s="96"/>
      <c r="AZ35" s="95"/>
      <c r="BA35" s="96"/>
    </row>
    <row r="36" spans="1:53" ht="75" x14ac:dyDescent="0.4">
      <c r="A36" s="80" t="s">
        <v>2213</v>
      </c>
      <c r="B36" s="80" t="s">
        <v>2214</v>
      </c>
      <c r="C36" s="80" t="s">
        <v>2157</v>
      </c>
      <c r="D36" s="88" t="s">
        <v>2173</v>
      </c>
      <c r="E36" s="108" t="s">
        <v>2171</v>
      </c>
      <c r="F36" s="83" t="s">
        <v>147</v>
      </c>
      <c r="G36" s="105" t="s">
        <v>489</v>
      </c>
      <c r="H36" s="80" t="s">
        <v>2215</v>
      </c>
      <c r="I36" s="120" t="s">
        <v>2216</v>
      </c>
      <c r="J36" s="106">
        <v>43741</v>
      </c>
      <c r="K36" s="106">
        <v>43749</v>
      </c>
      <c r="L36" s="106">
        <v>43763</v>
      </c>
      <c r="M36" s="543" t="s">
        <v>312</v>
      </c>
      <c r="N36" s="80" t="s">
        <v>151</v>
      </c>
      <c r="O36" s="106">
        <v>43769</v>
      </c>
      <c r="P36" s="107">
        <f t="shared" si="0"/>
        <v>28</v>
      </c>
      <c r="Q36" s="80"/>
      <c r="R36" s="80"/>
      <c r="S36" s="90"/>
      <c r="T36" s="90"/>
      <c r="U36" s="80" t="s">
        <v>2217</v>
      </c>
      <c r="V36" s="88" t="s">
        <v>153</v>
      </c>
      <c r="W36" s="107">
        <v>4</v>
      </c>
      <c r="X36" s="80" t="s">
        <v>2218</v>
      </c>
      <c r="Y36" s="80" t="s">
        <v>493</v>
      </c>
      <c r="Z36" s="80" t="s">
        <v>2219</v>
      </c>
      <c r="AA36" s="80">
        <v>5</v>
      </c>
      <c r="AB36" s="90" t="s">
        <v>2220</v>
      </c>
      <c r="AC36" s="91">
        <v>3</v>
      </c>
      <c r="AD36" s="90" t="s">
        <v>2221</v>
      </c>
      <c r="AE36" s="80"/>
      <c r="AF36" s="110"/>
      <c r="AG36" s="110"/>
      <c r="AH36" s="110"/>
      <c r="AI36" s="111"/>
      <c r="AJ36" s="110"/>
      <c r="AK36" s="110"/>
      <c r="AL36" s="110"/>
      <c r="AM36" s="110"/>
      <c r="AN36" s="111"/>
      <c r="AO36" s="110"/>
      <c r="AP36" s="93"/>
      <c r="AQ36" s="95"/>
      <c r="AR36" s="95"/>
      <c r="AS36" s="95"/>
      <c r="AT36" s="96"/>
      <c r="AU36" s="95"/>
      <c r="AV36" s="95"/>
      <c r="AW36" s="95"/>
      <c r="AX36" s="95"/>
      <c r="AY36" s="96"/>
      <c r="AZ36" s="95"/>
      <c r="BA36" s="96"/>
    </row>
    <row r="37" spans="1:53" ht="168" x14ac:dyDescent="0.4">
      <c r="A37" s="88" t="s">
        <v>429</v>
      </c>
      <c r="B37" s="88" t="s">
        <v>206</v>
      </c>
      <c r="C37" s="88" t="s">
        <v>166</v>
      </c>
      <c r="D37" s="88" t="s">
        <v>430</v>
      </c>
      <c r="E37" s="97" t="s">
        <v>189</v>
      </c>
      <c r="F37" s="83" t="s">
        <v>167</v>
      </c>
      <c r="G37" s="98" t="s">
        <v>208</v>
      </c>
      <c r="H37" s="88" t="s">
        <v>431</v>
      </c>
      <c r="I37" s="88" t="s">
        <v>210</v>
      </c>
      <c r="J37" s="99">
        <v>42377</v>
      </c>
      <c r="K37" s="99">
        <v>42388</v>
      </c>
      <c r="L37" s="99">
        <v>42402</v>
      </c>
      <c r="M37" s="543" t="s">
        <v>312</v>
      </c>
      <c r="N37" s="88" t="s">
        <v>151</v>
      </c>
      <c r="O37" s="99">
        <v>42403</v>
      </c>
      <c r="P37" s="100">
        <f t="shared" si="0"/>
        <v>26</v>
      </c>
      <c r="Q37" s="88">
        <f t="shared" si="1"/>
        <v>15</v>
      </c>
      <c r="R37" s="88">
        <f t="shared" si="2"/>
        <v>1</v>
      </c>
      <c r="S37" s="101" t="s">
        <v>152</v>
      </c>
      <c r="T37" s="101" t="s">
        <v>152</v>
      </c>
      <c r="U37" s="88" t="s">
        <v>211</v>
      </c>
      <c r="V37" s="88" t="s">
        <v>172</v>
      </c>
      <c r="W37" s="100">
        <v>3</v>
      </c>
      <c r="X37" s="88" t="s">
        <v>154</v>
      </c>
      <c r="Y37" s="80" t="s">
        <v>212</v>
      </c>
      <c r="Z37" s="90" t="s">
        <v>432</v>
      </c>
      <c r="AA37" s="88">
        <v>4</v>
      </c>
      <c r="AB37" s="101" t="s">
        <v>433</v>
      </c>
      <c r="AC37" s="103">
        <v>1</v>
      </c>
      <c r="AD37" s="88" t="s">
        <v>215</v>
      </c>
      <c r="AE37" s="101"/>
      <c r="AF37" s="95"/>
      <c r="AG37" s="95"/>
      <c r="AH37" s="95"/>
      <c r="AI37" s="96"/>
      <c r="AJ37" s="95"/>
      <c r="AK37" s="95"/>
      <c r="AL37" s="104"/>
      <c r="AM37" s="104"/>
      <c r="AN37" s="96"/>
      <c r="AO37" s="95"/>
      <c r="AP37" s="96"/>
      <c r="AQ37" s="95"/>
      <c r="AR37" s="95"/>
      <c r="AS37" s="95"/>
      <c r="AT37" s="96"/>
      <c r="AU37" s="95"/>
      <c r="AV37" s="95"/>
      <c r="AW37" s="95"/>
      <c r="AX37" s="95"/>
      <c r="AY37" s="96"/>
      <c r="AZ37" s="95"/>
      <c r="BA37" s="96"/>
    </row>
    <row r="38" spans="1:53" ht="45" x14ac:dyDescent="0.4">
      <c r="A38" s="88" t="s">
        <v>434</v>
      </c>
      <c r="B38" s="88" t="s">
        <v>165</v>
      </c>
      <c r="C38" s="88" t="s">
        <v>166</v>
      </c>
      <c r="D38" s="88" t="s">
        <v>430</v>
      </c>
      <c r="E38" s="97" t="s">
        <v>189</v>
      </c>
      <c r="F38" s="83" t="s">
        <v>167</v>
      </c>
      <c r="G38" s="105" t="s">
        <v>168</v>
      </c>
      <c r="H38" s="80" t="s">
        <v>435</v>
      </c>
      <c r="I38" s="88" t="s">
        <v>227</v>
      </c>
      <c r="J38" s="106">
        <v>42769</v>
      </c>
      <c r="K38" s="106">
        <v>42796</v>
      </c>
      <c r="L38" s="106">
        <v>42810</v>
      </c>
      <c r="M38" s="543" t="s">
        <v>152</v>
      </c>
      <c r="N38" s="80" t="s">
        <v>151</v>
      </c>
      <c r="O38" s="106">
        <v>42817</v>
      </c>
      <c r="P38" s="107">
        <f t="shared" si="0"/>
        <v>48</v>
      </c>
      <c r="Q38" s="80">
        <f t="shared" si="1"/>
        <v>21</v>
      </c>
      <c r="R38" s="80">
        <f t="shared" si="2"/>
        <v>7</v>
      </c>
      <c r="S38" s="101" t="s">
        <v>152</v>
      </c>
      <c r="T38" s="101" t="s">
        <v>152</v>
      </c>
      <c r="U38" s="80" t="s">
        <v>185</v>
      </c>
      <c r="V38" s="88" t="s">
        <v>172</v>
      </c>
      <c r="W38" s="107">
        <v>3</v>
      </c>
      <c r="X38" s="80" t="s">
        <v>154</v>
      </c>
      <c r="Y38" s="80" t="s">
        <v>155</v>
      </c>
      <c r="Z38" s="90" t="s">
        <v>173</v>
      </c>
      <c r="AA38" s="88">
        <v>1</v>
      </c>
      <c r="AB38" s="88" t="s">
        <v>436</v>
      </c>
      <c r="AC38" s="103">
        <v>1</v>
      </c>
      <c r="AD38" s="101" t="s">
        <v>437</v>
      </c>
      <c r="AE38" s="80"/>
      <c r="AF38" s="110"/>
      <c r="AG38" s="110"/>
      <c r="AH38" s="110"/>
      <c r="AI38" s="111"/>
      <c r="AJ38" s="110"/>
      <c r="AK38" s="110"/>
      <c r="AL38" s="110"/>
      <c r="AM38" s="110"/>
      <c r="AN38" s="111"/>
      <c r="AO38" s="110"/>
      <c r="AP38" s="96"/>
      <c r="AQ38" s="95"/>
      <c r="AR38" s="95"/>
      <c r="AS38" s="95"/>
      <c r="AT38" s="96"/>
      <c r="AU38" s="95"/>
      <c r="AV38" s="95"/>
      <c r="AW38" s="95"/>
      <c r="AX38" s="95"/>
      <c r="AY38" s="96"/>
      <c r="AZ38" s="95"/>
      <c r="BA38" s="96"/>
    </row>
    <row r="39" spans="1:53" ht="45" x14ac:dyDescent="0.4">
      <c r="A39" s="88" t="s">
        <v>438</v>
      </c>
      <c r="B39" s="88" t="s">
        <v>439</v>
      </c>
      <c r="C39" s="88" t="s">
        <v>166</v>
      </c>
      <c r="D39" s="88" t="s">
        <v>430</v>
      </c>
      <c r="E39" s="97" t="s">
        <v>189</v>
      </c>
      <c r="F39" s="83" t="s">
        <v>167</v>
      </c>
      <c r="G39" s="98" t="s">
        <v>208</v>
      </c>
      <c r="H39" s="80" t="s">
        <v>440</v>
      </c>
      <c r="I39" s="80" t="s">
        <v>227</v>
      </c>
      <c r="J39" s="106">
        <v>42781</v>
      </c>
      <c r="K39" s="106">
        <v>42796</v>
      </c>
      <c r="L39" s="106">
        <v>42810</v>
      </c>
      <c r="M39" s="541" t="s">
        <v>152</v>
      </c>
      <c r="N39" s="88" t="s">
        <v>151</v>
      </c>
      <c r="O39" s="106">
        <v>42821</v>
      </c>
      <c r="P39" s="107">
        <f t="shared" si="0"/>
        <v>40</v>
      </c>
      <c r="Q39" s="80">
        <f t="shared" si="1"/>
        <v>25</v>
      </c>
      <c r="R39" s="80">
        <f t="shared" si="2"/>
        <v>11</v>
      </c>
      <c r="S39" s="101" t="s">
        <v>152</v>
      </c>
      <c r="T39" s="101" t="s">
        <v>152</v>
      </c>
      <c r="U39" s="88" t="s">
        <v>211</v>
      </c>
      <c r="V39" s="88" t="s">
        <v>172</v>
      </c>
      <c r="W39" s="107">
        <v>1</v>
      </c>
      <c r="X39" s="88" t="s">
        <v>154</v>
      </c>
      <c r="Y39" s="80" t="s">
        <v>155</v>
      </c>
      <c r="Z39" s="90" t="s">
        <v>173</v>
      </c>
      <c r="AA39" s="88">
        <v>1</v>
      </c>
      <c r="AB39" s="88" t="s">
        <v>436</v>
      </c>
      <c r="AC39" s="103">
        <v>1</v>
      </c>
      <c r="AD39" s="101" t="s">
        <v>441</v>
      </c>
      <c r="AE39" s="80"/>
      <c r="AF39" s="110"/>
      <c r="AG39" s="110"/>
      <c r="AH39" s="110"/>
      <c r="AI39" s="111"/>
      <c r="AJ39" s="110"/>
      <c r="AK39" s="110"/>
      <c r="AL39" s="110"/>
      <c r="AM39" s="110"/>
      <c r="AN39" s="111"/>
      <c r="AO39" s="110"/>
      <c r="AP39" s="96"/>
      <c r="AQ39" s="95"/>
      <c r="AR39" s="95"/>
      <c r="AS39" s="95"/>
      <c r="AT39" s="96"/>
      <c r="AU39" s="95"/>
      <c r="AV39" s="95"/>
      <c r="AW39" s="95"/>
      <c r="AX39" s="95"/>
      <c r="AY39" s="96"/>
      <c r="AZ39" s="95"/>
      <c r="BA39" s="96"/>
    </row>
    <row r="40" spans="1:53" ht="94.5" x14ac:dyDescent="0.4">
      <c r="A40" s="88" t="s">
        <v>442</v>
      </c>
      <c r="B40" s="88" t="s">
        <v>443</v>
      </c>
      <c r="C40" s="88" t="s">
        <v>166</v>
      </c>
      <c r="D40" s="88" t="s">
        <v>2330</v>
      </c>
      <c r="E40" s="97" t="s">
        <v>146</v>
      </c>
      <c r="F40" s="83" t="s">
        <v>147</v>
      </c>
      <c r="G40" s="98" t="s">
        <v>417</v>
      </c>
      <c r="H40" s="88" t="s">
        <v>445</v>
      </c>
      <c r="I40" s="88" t="s">
        <v>446</v>
      </c>
      <c r="J40" s="99">
        <v>42451</v>
      </c>
      <c r="K40" s="99">
        <v>42465</v>
      </c>
      <c r="L40" s="99">
        <v>42479</v>
      </c>
      <c r="M40" s="541">
        <v>3</v>
      </c>
      <c r="N40" s="88" t="s">
        <v>151</v>
      </c>
      <c r="O40" s="99">
        <v>42486</v>
      </c>
      <c r="P40" s="100">
        <f t="shared" si="0"/>
        <v>35</v>
      </c>
      <c r="Q40" s="88">
        <f t="shared" si="1"/>
        <v>21</v>
      </c>
      <c r="R40" s="88">
        <f t="shared" si="2"/>
        <v>7</v>
      </c>
      <c r="S40" s="101" t="s">
        <v>152</v>
      </c>
      <c r="T40" s="101" t="s">
        <v>152</v>
      </c>
      <c r="U40" s="80" t="s">
        <v>447</v>
      </c>
      <c r="V40" s="88" t="s">
        <v>153</v>
      </c>
      <c r="W40" s="102">
        <v>3</v>
      </c>
      <c r="X40" s="88" t="s">
        <v>154</v>
      </c>
      <c r="Y40" s="90" t="s">
        <v>155</v>
      </c>
      <c r="Z40" s="90" t="s">
        <v>448</v>
      </c>
      <c r="AA40" s="103">
        <v>5</v>
      </c>
      <c r="AB40" s="101" t="s">
        <v>449</v>
      </c>
      <c r="AC40" s="103">
        <v>2</v>
      </c>
      <c r="AD40" s="101" t="s">
        <v>450</v>
      </c>
      <c r="AE40" s="101"/>
      <c r="AF40" s="95"/>
      <c r="AG40" s="95"/>
      <c r="AH40" s="95"/>
      <c r="AI40" s="96"/>
      <c r="AJ40" s="95"/>
      <c r="AK40" s="95"/>
      <c r="AL40" s="104"/>
      <c r="AM40" s="104"/>
      <c r="AN40" s="96"/>
      <c r="AO40" s="95"/>
      <c r="AP40" s="96"/>
      <c r="AQ40" s="95"/>
      <c r="AR40" s="95"/>
      <c r="AS40" s="95"/>
      <c r="AT40" s="96"/>
      <c r="AU40" s="95"/>
      <c r="AV40" s="95"/>
      <c r="AW40" s="95"/>
      <c r="AX40" s="95"/>
      <c r="AY40" s="96"/>
      <c r="AZ40" s="95"/>
      <c r="BA40" s="96"/>
    </row>
    <row r="41" spans="1:53" ht="120" x14ac:dyDescent="0.4">
      <c r="A41" s="88" t="s">
        <v>451</v>
      </c>
      <c r="B41" s="88" t="s">
        <v>2329</v>
      </c>
      <c r="C41" s="88" t="s">
        <v>353</v>
      </c>
      <c r="D41" s="88" t="s">
        <v>2330</v>
      </c>
      <c r="E41" s="97" t="s">
        <v>2331</v>
      </c>
      <c r="F41" s="83" t="s">
        <v>167</v>
      </c>
      <c r="G41" s="105" t="s">
        <v>168</v>
      </c>
      <c r="H41" s="80" t="s">
        <v>2333</v>
      </c>
      <c r="I41" s="88" t="s">
        <v>2332</v>
      </c>
      <c r="J41" s="106">
        <v>42711</v>
      </c>
      <c r="K41" s="106">
        <v>42721</v>
      </c>
      <c r="L41" s="106">
        <v>42735</v>
      </c>
      <c r="M41" s="543" t="s">
        <v>152</v>
      </c>
      <c r="N41" s="80" t="s">
        <v>171</v>
      </c>
      <c r="O41" s="106">
        <v>42770</v>
      </c>
      <c r="P41" s="107">
        <f t="shared" si="0"/>
        <v>59</v>
      </c>
      <c r="Q41" s="80">
        <f t="shared" si="1"/>
        <v>49</v>
      </c>
      <c r="R41" s="80">
        <f t="shared" si="2"/>
        <v>35</v>
      </c>
      <c r="S41" s="101" t="s">
        <v>152</v>
      </c>
      <c r="T41" s="101" t="s">
        <v>152</v>
      </c>
      <c r="U41" s="80" t="s">
        <v>185</v>
      </c>
      <c r="V41" s="88" t="s">
        <v>153</v>
      </c>
      <c r="W41" s="107">
        <v>3</v>
      </c>
      <c r="X41" s="80" t="s">
        <v>154</v>
      </c>
      <c r="Y41" s="80" t="s">
        <v>155</v>
      </c>
      <c r="Z41" s="90" t="s">
        <v>452</v>
      </c>
      <c r="AA41" s="101">
        <v>1</v>
      </c>
      <c r="AB41" s="101" t="s">
        <v>453</v>
      </c>
      <c r="AC41" s="103">
        <v>2</v>
      </c>
      <c r="AD41" s="101" t="s">
        <v>454</v>
      </c>
      <c r="AE41" s="80" t="s">
        <v>455</v>
      </c>
      <c r="AF41" s="110"/>
      <c r="AG41" s="110"/>
      <c r="AH41" s="110"/>
      <c r="AI41" s="111"/>
      <c r="AJ41" s="110"/>
      <c r="AK41" s="110"/>
      <c r="AL41" s="110"/>
      <c r="AM41" s="110"/>
      <c r="AN41" s="111"/>
      <c r="AO41" s="110"/>
      <c r="AP41" s="96"/>
      <c r="AQ41" s="95"/>
      <c r="AR41" s="95"/>
      <c r="AS41" s="95"/>
      <c r="AT41" s="96"/>
      <c r="AU41" s="95"/>
      <c r="AV41" s="95"/>
      <c r="AW41" s="95"/>
      <c r="AX41" s="95"/>
      <c r="AY41" s="96"/>
      <c r="AZ41" s="95"/>
      <c r="BA41" s="96"/>
    </row>
    <row r="42" spans="1:53" ht="135" x14ac:dyDescent="0.4">
      <c r="A42" s="88" t="s">
        <v>2335</v>
      </c>
      <c r="B42" s="88" t="s">
        <v>2348</v>
      </c>
      <c r="C42" s="88" t="s">
        <v>166</v>
      </c>
      <c r="D42" s="88" t="s">
        <v>2330</v>
      </c>
      <c r="E42" s="97" t="s">
        <v>146</v>
      </c>
      <c r="F42" s="83" t="s">
        <v>147</v>
      </c>
      <c r="G42" s="105" t="s">
        <v>2357</v>
      </c>
      <c r="H42" s="80" t="s">
        <v>2334</v>
      </c>
      <c r="I42" s="88" t="s">
        <v>1370</v>
      </c>
      <c r="J42" s="106">
        <v>43418</v>
      </c>
      <c r="K42" s="106">
        <v>43448</v>
      </c>
      <c r="L42" s="106">
        <v>43462</v>
      </c>
      <c r="M42" s="543" t="s">
        <v>152</v>
      </c>
      <c r="N42" s="88" t="s">
        <v>151</v>
      </c>
      <c r="O42" s="106">
        <v>43882</v>
      </c>
      <c r="P42" s="107">
        <f t="shared" si="0"/>
        <v>464</v>
      </c>
      <c r="Q42" s="80">
        <f>O42-K42</f>
        <v>434</v>
      </c>
      <c r="R42" s="80">
        <f t="shared" si="2"/>
        <v>420</v>
      </c>
      <c r="S42" s="101" t="s">
        <v>152</v>
      </c>
      <c r="T42" s="101" t="s">
        <v>152</v>
      </c>
      <c r="U42" s="80" t="s">
        <v>2155</v>
      </c>
      <c r="V42" s="88" t="s">
        <v>153</v>
      </c>
      <c r="W42" s="107">
        <v>5</v>
      </c>
      <c r="X42" s="80" t="s">
        <v>154</v>
      </c>
      <c r="Y42" s="80" t="s">
        <v>155</v>
      </c>
      <c r="Z42" s="90" t="s">
        <v>2360</v>
      </c>
      <c r="AA42" s="101">
        <v>9</v>
      </c>
      <c r="AB42" s="101" t="s">
        <v>2359</v>
      </c>
      <c r="AC42" s="103">
        <v>3</v>
      </c>
      <c r="AD42" s="101" t="s">
        <v>2358</v>
      </c>
      <c r="AE42" s="80"/>
      <c r="AF42" s="110"/>
      <c r="AG42" s="110"/>
      <c r="AH42" s="110"/>
      <c r="AI42" s="111"/>
      <c r="AJ42" s="110"/>
      <c r="AK42" s="110"/>
      <c r="AL42" s="110"/>
      <c r="AM42" s="110"/>
      <c r="AN42" s="111"/>
      <c r="AO42" s="110"/>
      <c r="AP42" s="96"/>
      <c r="AQ42" s="95"/>
      <c r="AR42" s="95"/>
      <c r="AS42" s="95"/>
      <c r="AT42" s="96"/>
      <c r="AU42" s="95"/>
      <c r="AV42" s="95"/>
      <c r="AW42" s="95"/>
      <c r="AX42" s="95"/>
      <c r="AY42" s="96"/>
      <c r="AZ42" s="95"/>
      <c r="BA42" s="96"/>
    </row>
    <row r="43" spans="1:53" ht="210" x14ac:dyDescent="0.4">
      <c r="A43" s="88" t="s">
        <v>2336</v>
      </c>
      <c r="B43" s="88" t="s">
        <v>2347</v>
      </c>
      <c r="C43" s="88" t="s">
        <v>166</v>
      </c>
      <c r="D43" s="88" t="s">
        <v>2330</v>
      </c>
      <c r="E43" s="97" t="s">
        <v>2338</v>
      </c>
      <c r="F43" s="83" t="s">
        <v>2361</v>
      </c>
      <c r="G43" s="105" t="s">
        <v>2346</v>
      </c>
      <c r="H43" s="80" t="s">
        <v>2340</v>
      </c>
      <c r="I43" s="88" t="s">
        <v>2339</v>
      </c>
      <c r="J43" s="543" t="s">
        <v>152</v>
      </c>
      <c r="K43" s="106">
        <v>43607</v>
      </c>
      <c r="L43" s="106">
        <v>43621</v>
      </c>
      <c r="M43" s="543">
        <v>1</v>
      </c>
      <c r="N43" s="88" t="s">
        <v>151</v>
      </c>
      <c r="O43" s="106">
        <v>43882</v>
      </c>
      <c r="P43" s="543" t="s">
        <v>152</v>
      </c>
      <c r="Q43" s="80">
        <f t="shared" si="1"/>
        <v>275</v>
      </c>
      <c r="R43" s="80">
        <f t="shared" si="2"/>
        <v>261</v>
      </c>
      <c r="S43" s="101" t="s">
        <v>152</v>
      </c>
      <c r="T43" s="101" t="s">
        <v>152</v>
      </c>
      <c r="U43" s="83" t="s">
        <v>2344</v>
      </c>
      <c r="V43" s="80" t="s">
        <v>2355</v>
      </c>
      <c r="W43" s="107">
        <v>4</v>
      </c>
      <c r="X43" s="80" t="s">
        <v>2355</v>
      </c>
      <c r="Y43" s="80" t="s">
        <v>2355</v>
      </c>
      <c r="Z43" s="80" t="s">
        <v>2355</v>
      </c>
      <c r="AA43" s="101">
        <v>37</v>
      </c>
      <c r="AB43" s="549" t="s">
        <v>2356</v>
      </c>
      <c r="AC43" s="103">
        <v>20</v>
      </c>
      <c r="AD43" s="549" t="s">
        <v>2356</v>
      </c>
      <c r="AE43" s="80"/>
      <c r="AF43" s="110"/>
      <c r="AG43" s="110"/>
      <c r="AH43" s="110"/>
      <c r="AI43" s="111"/>
      <c r="AJ43" s="110"/>
      <c r="AK43" s="110"/>
      <c r="AL43" s="110"/>
      <c r="AM43" s="110"/>
      <c r="AN43" s="111"/>
      <c r="AO43" s="110"/>
      <c r="AP43" s="96"/>
      <c r="AQ43" s="95"/>
      <c r="AR43" s="95"/>
      <c r="AS43" s="95"/>
      <c r="AT43" s="96"/>
      <c r="AU43" s="95"/>
      <c r="AV43" s="95"/>
      <c r="AW43" s="95"/>
      <c r="AX43" s="95"/>
      <c r="AY43" s="96"/>
      <c r="AZ43" s="95"/>
      <c r="BA43" s="96"/>
    </row>
    <row r="44" spans="1:53" ht="45" x14ac:dyDescent="0.4">
      <c r="A44" s="88" t="s">
        <v>2337</v>
      </c>
      <c r="B44" s="88" t="s">
        <v>2341</v>
      </c>
      <c r="C44" s="88" t="s">
        <v>166</v>
      </c>
      <c r="D44" s="88" t="s">
        <v>2330</v>
      </c>
      <c r="E44" s="97" t="s">
        <v>146</v>
      </c>
      <c r="F44" s="83" t="s">
        <v>147</v>
      </c>
      <c r="G44" s="105" t="s">
        <v>2349</v>
      </c>
      <c r="H44" s="80" t="s">
        <v>2342</v>
      </c>
      <c r="I44" s="88" t="s">
        <v>170</v>
      </c>
      <c r="J44" s="106">
        <v>43711</v>
      </c>
      <c r="K44" s="106">
        <v>43746</v>
      </c>
      <c r="L44" s="106">
        <v>43760</v>
      </c>
      <c r="M44" s="543" t="s">
        <v>152</v>
      </c>
      <c r="N44" s="88" t="s">
        <v>151</v>
      </c>
      <c r="O44" s="106">
        <v>43882</v>
      </c>
      <c r="P44" s="107">
        <f t="shared" si="0"/>
        <v>171</v>
      </c>
      <c r="Q44" s="80">
        <f t="shared" si="1"/>
        <v>136</v>
      </c>
      <c r="R44" s="80">
        <f t="shared" si="2"/>
        <v>122</v>
      </c>
      <c r="S44" s="101" t="s">
        <v>152</v>
      </c>
      <c r="T44" s="101" t="s">
        <v>152</v>
      </c>
      <c r="U44" s="80" t="s">
        <v>2354</v>
      </c>
      <c r="V44" s="88" t="s">
        <v>2350</v>
      </c>
      <c r="W44" s="107">
        <v>2</v>
      </c>
      <c r="X44" s="88" t="s">
        <v>154</v>
      </c>
      <c r="Y44" s="80" t="s">
        <v>155</v>
      </c>
      <c r="Z44" s="90" t="s">
        <v>2351</v>
      </c>
      <c r="AA44" s="101">
        <v>2</v>
      </c>
      <c r="AB44" s="101" t="s">
        <v>2353</v>
      </c>
      <c r="AC44" s="103">
        <v>2</v>
      </c>
      <c r="AD44" s="101" t="s">
        <v>2352</v>
      </c>
      <c r="AE44" s="80"/>
      <c r="AF44" s="110"/>
      <c r="AG44" s="110"/>
      <c r="AH44" s="110"/>
      <c r="AI44" s="111"/>
      <c r="AJ44" s="110"/>
      <c r="AK44" s="110"/>
      <c r="AL44" s="110"/>
      <c r="AM44" s="110"/>
      <c r="AN44" s="111"/>
      <c r="AO44" s="110"/>
      <c r="AP44" s="96"/>
      <c r="AQ44" s="95"/>
      <c r="AR44" s="95"/>
      <c r="AS44" s="95"/>
      <c r="AT44" s="96"/>
      <c r="AU44" s="95"/>
      <c r="AV44" s="95"/>
      <c r="AW44" s="95"/>
      <c r="AX44" s="95"/>
      <c r="AY44" s="96"/>
      <c r="AZ44" s="95"/>
      <c r="BA44" s="96"/>
    </row>
    <row r="45" spans="1:53" ht="105" x14ac:dyDescent="0.4">
      <c r="A45" s="88" t="s">
        <v>456</v>
      </c>
      <c r="B45" s="88" t="s">
        <v>457</v>
      </c>
      <c r="C45" s="88" t="s">
        <v>166</v>
      </c>
      <c r="D45" s="88" t="s">
        <v>458</v>
      </c>
      <c r="E45" s="97" t="s">
        <v>146</v>
      </c>
      <c r="F45" s="83" t="s">
        <v>147</v>
      </c>
      <c r="G45" s="98" t="s">
        <v>270</v>
      </c>
      <c r="H45" s="88" t="s">
        <v>459</v>
      </c>
      <c r="I45" s="101" t="s">
        <v>460</v>
      </c>
      <c r="J45" s="99">
        <v>42578</v>
      </c>
      <c r="K45" s="99">
        <v>42586</v>
      </c>
      <c r="L45" s="99">
        <v>42600</v>
      </c>
      <c r="M45" s="545" t="s">
        <v>152</v>
      </c>
      <c r="N45" s="88" t="s">
        <v>151</v>
      </c>
      <c r="O45" s="99">
        <v>42657</v>
      </c>
      <c r="P45" s="100">
        <f t="shared" si="0"/>
        <v>79</v>
      </c>
      <c r="Q45" s="80">
        <f t="shared" si="1"/>
        <v>71</v>
      </c>
      <c r="R45" s="80">
        <f t="shared" si="2"/>
        <v>57</v>
      </c>
      <c r="S45" s="101" t="s">
        <v>152</v>
      </c>
      <c r="T45" s="101" t="s">
        <v>152</v>
      </c>
      <c r="U45" s="80" t="s">
        <v>461</v>
      </c>
      <c r="V45" s="88" t="s">
        <v>172</v>
      </c>
      <c r="W45" s="100">
        <v>5</v>
      </c>
      <c r="X45" s="88" t="s">
        <v>154</v>
      </c>
      <c r="Y45" s="90" t="s">
        <v>202</v>
      </c>
      <c r="Z45" s="90" t="s">
        <v>156</v>
      </c>
      <c r="AA45" s="88">
        <v>1</v>
      </c>
      <c r="AB45" s="88" t="s">
        <v>462</v>
      </c>
      <c r="AC45" s="103">
        <v>2</v>
      </c>
      <c r="AD45" s="101" t="s">
        <v>463</v>
      </c>
      <c r="AE45" s="80" t="s">
        <v>464</v>
      </c>
      <c r="AF45" s="104"/>
      <c r="AG45" s="104"/>
      <c r="AH45" s="104"/>
      <c r="AI45" s="109"/>
      <c r="AJ45" s="104"/>
      <c r="AK45" s="104"/>
      <c r="AL45" s="104"/>
      <c r="AM45" s="104"/>
      <c r="AN45" s="109"/>
      <c r="AO45" s="104"/>
      <c r="AP45" s="96"/>
      <c r="AQ45" s="95"/>
      <c r="AR45" s="95"/>
      <c r="AS45" s="95"/>
      <c r="AT45" s="96"/>
      <c r="AU45" s="95"/>
      <c r="AV45" s="95"/>
      <c r="AW45" s="95"/>
      <c r="AX45" s="95"/>
      <c r="AY45" s="96"/>
      <c r="AZ45" s="95"/>
      <c r="BA45" s="96"/>
    </row>
    <row r="46" spans="1:53" ht="165" x14ac:dyDescent="0.4">
      <c r="A46" s="80" t="s">
        <v>465</v>
      </c>
      <c r="B46" s="80" t="s">
        <v>165</v>
      </c>
      <c r="C46" s="88" t="s">
        <v>166</v>
      </c>
      <c r="D46" s="88" t="s">
        <v>458</v>
      </c>
      <c r="E46" s="97" t="s">
        <v>189</v>
      </c>
      <c r="F46" s="83" t="s">
        <v>167</v>
      </c>
      <c r="G46" s="105" t="s">
        <v>2178</v>
      </c>
      <c r="H46" s="80" t="s">
        <v>466</v>
      </c>
      <c r="I46" s="80" t="s">
        <v>170</v>
      </c>
      <c r="J46" s="106">
        <v>43276</v>
      </c>
      <c r="K46" s="106">
        <v>43287</v>
      </c>
      <c r="L46" s="106">
        <v>43301</v>
      </c>
      <c r="M46" s="543" t="s">
        <v>152</v>
      </c>
      <c r="N46" s="80" t="s">
        <v>151</v>
      </c>
      <c r="O46" s="106">
        <v>43322</v>
      </c>
      <c r="P46" s="107">
        <f t="shared" si="0"/>
        <v>46</v>
      </c>
      <c r="Q46" s="80">
        <f t="shared" si="1"/>
        <v>35</v>
      </c>
      <c r="R46" s="80">
        <f t="shared" si="2"/>
        <v>21</v>
      </c>
      <c r="S46" s="101" t="s">
        <v>152</v>
      </c>
      <c r="T46" s="101" t="s">
        <v>152</v>
      </c>
      <c r="U46" s="88" t="s">
        <v>467</v>
      </c>
      <c r="V46" s="80" t="s">
        <v>172</v>
      </c>
      <c r="W46" s="107">
        <v>3</v>
      </c>
      <c r="X46" s="80" t="s">
        <v>154</v>
      </c>
      <c r="Y46" s="80" t="s">
        <v>155</v>
      </c>
      <c r="Z46" s="90" t="s">
        <v>173</v>
      </c>
      <c r="AA46" s="80">
        <v>1</v>
      </c>
      <c r="AB46" s="90" t="s">
        <v>468</v>
      </c>
      <c r="AC46" s="91">
        <v>1</v>
      </c>
      <c r="AD46" s="90" t="s">
        <v>469</v>
      </c>
      <c r="AE46" s="80"/>
      <c r="AF46" s="94"/>
      <c r="AG46" s="94"/>
      <c r="AH46" s="94"/>
      <c r="AI46" s="121"/>
      <c r="AJ46" s="94"/>
      <c r="AK46" s="94"/>
      <c r="AL46" s="94"/>
      <c r="AM46" s="94"/>
      <c r="AN46" s="121"/>
      <c r="AO46" s="94"/>
      <c r="AP46" s="93"/>
      <c r="AQ46" s="95"/>
      <c r="AR46" s="95"/>
      <c r="AS46" s="95"/>
      <c r="AT46" s="96"/>
      <c r="AU46" s="95"/>
      <c r="AV46" s="95"/>
      <c r="AW46" s="95"/>
      <c r="AX46" s="95"/>
      <c r="AY46" s="96"/>
      <c r="AZ46" s="95"/>
      <c r="BA46" s="96"/>
    </row>
    <row r="47" spans="1:53" ht="120" x14ac:dyDescent="0.4">
      <c r="A47" s="80" t="s">
        <v>470</v>
      </c>
      <c r="B47" s="80" t="s">
        <v>471</v>
      </c>
      <c r="C47" s="88" t="s">
        <v>166</v>
      </c>
      <c r="D47" s="88" t="s">
        <v>458</v>
      </c>
      <c r="E47" s="108" t="s">
        <v>146</v>
      </c>
      <c r="F47" s="83" t="s">
        <v>147</v>
      </c>
      <c r="G47" s="105" t="s">
        <v>2222</v>
      </c>
      <c r="H47" s="80" t="s">
        <v>472</v>
      </c>
      <c r="I47" s="80" t="s">
        <v>170</v>
      </c>
      <c r="J47" s="106">
        <v>43298</v>
      </c>
      <c r="K47" s="106">
        <v>43306</v>
      </c>
      <c r="L47" s="106">
        <v>43320</v>
      </c>
      <c r="M47" s="543" t="s">
        <v>152</v>
      </c>
      <c r="N47" s="80" t="s">
        <v>151</v>
      </c>
      <c r="O47" s="106">
        <v>43322</v>
      </c>
      <c r="P47" s="107">
        <f t="shared" si="0"/>
        <v>24</v>
      </c>
      <c r="Q47" s="80">
        <f t="shared" si="1"/>
        <v>16</v>
      </c>
      <c r="R47" s="80">
        <f t="shared" si="2"/>
        <v>2</v>
      </c>
      <c r="S47" s="101" t="s">
        <v>152</v>
      </c>
      <c r="T47" s="101" t="s">
        <v>152</v>
      </c>
      <c r="U47" s="88" t="s">
        <v>2223</v>
      </c>
      <c r="V47" s="80" t="s">
        <v>153</v>
      </c>
      <c r="W47" s="107">
        <v>2</v>
      </c>
      <c r="X47" s="80" t="s">
        <v>154</v>
      </c>
      <c r="Y47" s="90" t="s">
        <v>473</v>
      </c>
      <c r="Z47" s="90" t="s">
        <v>474</v>
      </c>
      <c r="AA47" s="80">
        <v>5</v>
      </c>
      <c r="AB47" s="90" t="s">
        <v>475</v>
      </c>
      <c r="AC47" s="91">
        <v>1</v>
      </c>
      <c r="AD47" s="90" t="s">
        <v>476</v>
      </c>
      <c r="AE47" s="80"/>
      <c r="AF47" s="94"/>
      <c r="AG47" s="94"/>
      <c r="AH47" s="94"/>
      <c r="AI47" s="121"/>
      <c r="AJ47" s="94"/>
      <c r="AK47" s="94"/>
      <c r="AL47" s="94"/>
      <c r="AM47" s="94"/>
      <c r="AN47" s="121"/>
      <c r="AO47" s="94"/>
      <c r="AP47" s="93"/>
      <c r="AQ47" s="95"/>
      <c r="AR47" s="95"/>
      <c r="AS47" s="95"/>
      <c r="AT47" s="96"/>
      <c r="AU47" s="95"/>
      <c r="AV47" s="95"/>
      <c r="AW47" s="95"/>
      <c r="AX47" s="95"/>
      <c r="AY47" s="96"/>
      <c r="AZ47" s="95"/>
      <c r="BA47" s="96"/>
    </row>
    <row r="48" spans="1:53" ht="330" x14ac:dyDescent="0.4">
      <c r="A48" s="88" t="s">
        <v>2224</v>
      </c>
      <c r="B48" s="88" t="s">
        <v>477</v>
      </c>
      <c r="C48" s="88" t="s">
        <v>166</v>
      </c>
      <c r="D48" s="88" t="s">
        <v>478</v>
      </c>
      <c r="E48" s="97" t="s">
        <v>479</v>
      </c>
      <c r="F48" s="83" t="s">
        <v>224</v>
      </c>
      <c r="G48" s="98" t="s">
        <v>480</v>
      </c>
      <c r="H48" s="88" t="s">
        <v>481</v>
      </c>
      <c r="I48" s="101" t="s">
        <v>236</v>
      </c>
      <c r="J48" s="99">
        <v>43171</v>
      </c>
      <c r="K48" s="99">
        <v>43182</v>
      </c>
      <c r="L48" s="99">
        <v>43196</v>
      </c>
      <c r="M48" s="543" t="s">
        <v>152</v>
      </c>
      <c r="N48" s="80" t="s">
        <v>171</v>
      </c>
      <c r="O48" s="99">
        <v>43276</v>
      </c>
      <c r="P48" s="100">
        <f t="shared" si="0"/>
        <v>105</v>
      </c>
      <c r="Q48" s="80">
        <f>O48-K48</f>
        <v>94</v>
      </c>
      <c r="R48" s="80">
        <f>O48-L48</f>
        <v>80</v>
      </c>
      <c r="S48" s="101" t="s">
        <v>152</v>
      </c>
      <c r="T48" s="101" t="s">
        <v>152</v>
      </c>
      <c r="U48" s="80" t="s">
        <v>482</v>
      </c>
      <c r="V48" s="88" t="s">
        <v>172</v>
      </c>
      <c r="W48" s="107">
        <v>3</v>
      </c>
      <c r="X48" s="88" t="s">
        <v>483</v>
      </c>
      <c r="Y48" s="90" t="s">
        <v>484</v>
      </c>
      <c r="Z48" s="90" t="s">
        <v>299</v>
      </c>
      <c r="AA48" s="88">
        <v>19</v>
      </c>
      <c r="AB48" s="101" t="s">
        <v>485</v>
      </c>
      <c r="AC48" s="103">
        <v>4</v>
      </c>
      <c r="AD48" s="101" t="s">
        <v>486</v>
      </c>
      <c r="AE48" s="80"/>
      <c r="AF48" s="104"/>
      <c r="AG48" s="104"/>
      <c r="AH48" s="104"/>
      <c r="AI48" s="109"/>
      <c r="AJ48" s="104"/>
      <c r="AK48" s="104"/>
      <c r="AL48" s="104"/>
      <c r="AM48" s="104"/>
      <c r="AN48" s="109"/>
      <c r="AO48" s="104"/>
      <c r="AP48" s="96"/>
      <c r="AQ48" s="95"/>
      <c r="AR48" s="95"/>
      <c r="AS48" s="95"/>
      <c r="AT48" s="96"/>
      <c r="AU48" s="95"/>
      <c r="AV48" s="95"/>
      <c r="AW48" s="95"/>
      <c r="AX48" s="95"/>
      <c r="AY48" s="96"/>
      <c r="AZ48" s="95"/>
      <c r="BA48" s="96"/>
    </row>
    <row r="49" spans="1:53" ht="90" x14ac:dyDescent="0.4">
      <c r="A49" s="88" t="s">
        <v>487</v>
      </c>
      <c r="B49" s="88" t="s">
        <v>488</v>
      </c>
      <c r="C49" s="88" t="s">
        <v>2225</v>
      </c>
      <c r="D49" s="88" t="s">
        <v>478</v>
      </c>
      <c r="E49" s="97" t="s">
        <v>146</v>
      </c>
      <c r="F49" s="83" t="s">
        <v>497</v>
      </c>
      <c r="G49" s="98" t="s">
        <v>489</v>
      </c>
      <c r="H49" s="88" t="s">
        <v>490</v>
      </c>
      <c r="I49" s="101" t="s">
        <v>491</v>
      </c>
      <c r="J49" s="106">
        <v>43657</v>
      </c>
      <c r="K49" s="99">
        <v>43721</v>
      </c>
      <c r="L49" s="99">
        <v>43735</v>
      </c>
      <c r="M49" s="543" t="s">
        <v>152</v>
      </c>
      <c r="N49" s="80" t="s">
        <v>171</v>
      </c>
      <c r="O49" s="99">
        <v>43846</v>
      </c>
      <c r="P49" s="100">
        <f t="shared" si="0"/>
        <v>189</v>
      </c>
      <c r="Q49" s="80">
        <f>O49-K49</f>
        <v>125</v>
      </c>
      <c r="R49" s="80">
        <f t="shared" ref="R49:R52" si="3">O49-L49</f>
        <v>111</v>
      </c>
      <c r="S49" s="101" t="s">
        <v>152</v>
      </c>
      <c r="T49" s="101" t="s">
        <v>152</v>
      </c>
      <c r="U49" s="80" t="s">
        <v>492</v>
      </c>
      <c r="V49" s="88" t="s">
        <v>172</v>
      </c>
      <c r="W49" s="107">
        <v>4</v>
      </c>
      <c r="X49" s="88" t="s">
        <v>154</v>
      </c>
      <c r="Y49" s="90" t="s">
        <v>493</v>
      </c>
      <c r="Z49" s="90" t="s">
        <v>494</v>
      </c>
      <c r="AA49" s="88">
        <v>6</v>
      </c>
      <c r="AB49" s="101" t="s">
        <v>495</v>
      </c>
      <c r="AC49" s="103">
        <v>3</v>
      </c>
      <c r="AD49" s="101" t="s">
        <v>2226</v>
      </c>
      <c r="AE49" s="80"/>
      <c r="AF49" s="104"/>
      <c r="AG49" s="104"/>
      <c r="AH49" s="104"/>
      <c r="AI49" s="109"/>
      <c r="AJ49" s="104"/>
      <c r="AK49" s="104"/>
      <c r="AL49" s="104"/>
      <c r="AM49" s="104"/>
      <c r="AN49" s="109"/>
      <c r="AO49" s="104"/>
      <c r="AP49" s="96"/>
      <c r="AQ49" s="95"/>
      <c r="AR49" s="95"/>
      <c r="AS49" s="95"/>
      <c r="AT49" s="96"/>
      <c r="AU49" s="95"/>
      <c r="AV49" s="95"/>
      <c r="AW49" s="95"/>
      <c r="AX49" s="95"/>
      <c r="AY49" s="96"/>
      <c r="AZ49" s="95"/>
      <c r="BA49" s="96"/>
    </row>
    <row r="50" spans="1:53" ht="75" x14ac:dyDescent="0.4">
      <c r="A50" s="88" t="s">
        <v>496</v>
      </c>
      <c r="B50" s="88" t="s">
        <v>395</v>
      </c>
      <c r="C50" s="88" t="s">
        <v>2160</v>
      </c>
      <c r="D50" s="88" t="s">
        <v>478</v>
      </c>
      <c r="E50" s="97" t="s">
        <v>146</v>
      </c>
      <c r="F50" s="83" t="s">
        <v>497</v>
      </c>
      <c r="G50" s="98" t="s">
        <v>489</v>
      </c>
      <c r="H50" s="88" t="s">
        <v>498</v>
      </c>
      <c r="I50" s="101" t="s">
        <v>150</v>
      </c>
      <c r="J50" s="106">
        <v>43669</v>
      </c>
      <c r="K50" s="99">
        <v>43721</v>
      </c>
      <c r="L50" s="99">
        <v>43735</v>
      </c>
      <c r="M50" s="543" t="s">
        <v>152</v>
      </c>
      <c r="N50" s="80" t="s">
        <v>171</v>
      </c>
      <c r="O50" s="99">
        <v>43846</v>
      </c>
      <c r="P50" s="100">
        <f t="shared" si="0"/>
        <v>177</v>
      </c>
      <c r="Q50" s="80">
        <f t="shared" ref="Q50:Q52" si="4">O50-K50</f>
        <v>125</v>
      </c>
      <c r="R50" s="80">
        <f t="shared" si="3"/>
        <v>111</v>
      </c>
      <c r="S50" s="101" t="s">
        <v>152</v>
      </c>
      <c r="T50" s="101" t="s">
        <v>152</v>
      </c>
      <c r="U50" s="80" t="s">
        <v>499</v>
      </c>
      <c r="V50" s="88" t="s">
        <v>172</v>
      </c>
      <c r="W50" s="107">
        <v>2</v>
      </c>
      <c r="X50" s="88" t="s">
        <v>154</v>
      </c>
      <c r="Y50" s="90" t="s">
        <v>2227</v>
      </c>
      <c r="Z50" s="90" t="s">
        <v>2190</v>
      </c>
      <c r="AA50" s="88">
        <v>5</v>
      </c>
      <c r="AB50" s="101" t="s">
        <v>500</v>
      </c>
      <c r="AC50" s="103">
        <v>1</v>
      </c>
      <c r="AD50" s="101" t="s">
        <v>2228</v>
      </c>
      <c r="AE50" s="80"/>
      <c r="AF50" s="104"/>
      <c r="AG50" s="104"/>
      <c r="AH50" s="104"/>
      <c r="AI50" s="109"/>
      <c r="AJ50" s="104"/>
      <c r="AK50" s="104"/>
      <c r="AL50" s="104"/>
      <c r="AM50" s="104"/>
      <c r="AN50" s="109"/>
      <c r="AO50" s="104"/>
      <c r="AP50" s="96"/>
      <c r="AQ50" s="95"/>
      <c r="AR50" s="95"/>
      <c r="AS50" s="95"/>
      <c r="AT50" s="96"/>
      <c r="AU50" s="95"/>
      <c r="AV50" s="95"/>
      <c r="AW50" s="95"/>
      <c r="AX50" s="95"/>
      <c r="AY50" s="96"/>
      <c r="AZ50" s="95"/>
      <c r="BA50" s="96"/>
    </row>
    <row r="51" spans="1:53" ht="75" x14ac:dyDescent="0.4">
      <c r="A51" s="88" t="s">
        <v>501</v>
      </c>
      <c r="B51" s="88" t="s">
        <v>502</v>
      </c>
      <c r="C51" s="88" t="s">
        <v>166</v>
      </c>
      <c r="D51" s="88" t="s">
        <v>478</v>
      </c>
      <c r="E51" s="97" t="s">
        <v>503</v>
      </c>
      <c r="F51" s="83" t="s">
        <v>224</v>
      </c>
      <c r="G51" s="98" t="s">
        <v>489</v>
      </c>
      <c r="H51" s="88" t="s">
        <v>504</v>
      </c>
      <c r="I51" s="101" t="s">
        <v>505</v>
      </c>
      <c r="J51" s="106">
        <v>43703</v>
      </c>
      <c r="K51" s="99">
        <v>43721</v>
      </c>
      <c r="L51" s="99">
        <v>43735</v>
      </c>
      <c r="M51" s="543" t="s">
        <v>152</v>
      </c>
      <c r="N51" s="80" t="s">
        <v>171</v>
      </c>
      <c r="O51" s="99">
        <v>43846</v>
      </c>
      <c r="P51" s="100">
        <f t="shared" si="0"/>
        <v>143</v>
      </c>
      <c r="Q51" s="80">
        <f t="shared" si="4"/>
        <v>125</v>
      </c>
      <c r="R51" s="80">
        <f t="shared" si="3"/>
        <v>111</v>
      </c>
      <c r="S51" s="101" t="s">
        <v>152</v>
      </c>
      <c r="T51" s="101" t="s">
        <v>152</v>
      </c>
      <c r="U51" s="80" t="s">
        <v>2229</v>
      </c>
      <c r="V51" s="88" t="s">
        <v>172</v>
      </c>
      <c r="W51" s="107">
        <v>2</v>
      </c>
      <c r="X51" s="88" t="s">
        <v>154</v>
      </c>
      <c r="Y51" s="90" t="s">
        <v>506</v>
      </c>
      <c r="Z51" s="90" t="s">
        <v>494</v>
      </c>
      <c r="AA51" s="88">
        <v>2</v>
      </c>
      <c r="AB51" s="101" t="s">
        <v>2230</v>
      </c>
      <c r="AC51" s="103">
        <v>3</v>
      </c>
      <c r="AD51" s="101" t="s">
        <v>2231</v>
      </c>
      <c r="AE51" s="80"/>
      <c r="AF51" s="104"/>
      <c r="AG51" s="104"/>
      <c r="AH51" s="104"/>
      <c r="AI51" s="109"/>
      <c r="AJ51" s="104"/>
      <c r="AK51" s="104"/>
      <c r="AL51" s="104"/>
      <c r="AM51" s="104"/>
      <c r="AN51" s="109"/>
      <c r="AO51" s="104"/>
      <c r="AP51" s="96"/>
      <c r="AQ51" s="95"/>
      <c r="AR51" s="95"/>
      <c r="AS51" s="95"/>
      <c r="AT51" s="96"/>
      <c r="AU51" s="95"/>
      <c r="AV51" s="95"/>
      <c r="AW51" s="95"/>
      <c r="AX51" s="95"/>
      <c r="AY51" s="96"/>
      <c r="AZ51" s="95"/>
      <c r="BA51" s="96"/>
    </row>
    <row r="52" spans="1:53" ht="90" x14ac:dyDescent="0.4">
      <c r="A52" s="88" t="s">
        <v>2433</v>
      </c>
      <c r="B52" s="88" t="s">
        <v>232</v>
      </c>
      <c r="C52" s="88" t="s">
        <v>166</v>
      </c>
      <c r="D52" s="88" t="s">
        <v>478</v>
      </c>
      <c r="E52" s="97" t="s">
        <v>503</v>
      </c>
      <c r="F52" s="83" t="s">
        <v>147</v>
      </c>
      <c r="G52" s="98" t="s">
        <v>2434</v>
      </c>
      <c r="H52" s="88" t="s">
        <v>2432</v>
      </c>
      <c r="I52" s="101" t="s">
        <v>170</v>
      </c>
      <c r="J52" s="106">
        <v>43850</v>
      </c>
      <c r="K52" s="99">
        <v>43859</v>
      </c>
      <c r="L52" s="99">
        <v>43873</v>
      </c>
      <c r="M52" s="543" t="s">
        <v>152</v>
      </c>
      <c r="N52" s="80" t="s">
        <v>171</v>
      </c>
      <c r="O52" s="99">
        <v>43941</v>
      </c>
      <c r="P52" s="100">
        <f t="shared" si="0"/>
        <v>91</v>
      </c>
      <c r="Q52" s="80">
        <f t="shared" si="4"/>
        <v>82</v>
      </c>
      <c r="R52" s="80">
        <f t="shared" si="3"/>
        <v>68</v>
      </c>
      <c r="S52" s="101" t="s">
        <v>152</v>
      </c>
      <c r="T52" s="101" t="s">
        <v>152</v>
      </c>
      <c r="U52" s="80" t="s">
        <v>2436</v>
      </c>
      <c r="V52" s="88" t="s">
        <v>2437</v>
      </c>
      <c r="W52" s="107">
        <v>3</v>
      </c>
      <c r="X52" s="88" t="s">
        <v>154</v>
      </c>
      <c r="Y52" s="90" t="s">
        <v>2441</v>
      </c>
      <c r="Z52" s="90" t="s">
        <v>2440</v>
      </c>
      <c r="AA52" s="103">
        <v>5</v>
      </c>
      <c r="AB52" s="101" t="s">
        <v>2438</v>
      </c>
      <c r="AC52" s="80">
        <v>4</v>
      </c>
      <c r="AD52" s="563" t="s">
        <v>2439</v>
      </c>
      <c r="AE52" s="80"/>
      <c r="AF52" s="104"/>
      <c r="AG52" s="104"/>
      <c r="AH52" s="104"/>
      <c r="AI52" s="109"/>
      <c r="AJ52" s="104"/>
      <c r="AK52" s="104"/>
      <c r="AL52" s="104"/>
      <c r="AM52" s="104"/>
      <c r="AN52" s="109"/>
      <c r="AO52" s="104"/>
      <c r="AP52" s="96"/>
      <c r="AQ52" s="95"/>
      <c r="AR52" s="95"/>
      <c r="AS52" s="95"/>
      <c r="AT52" s="96"/>
      <c r="AU52" s="95"/>
      <c r="AV52" s="95"/>
      <c r="AW52" s="95"/>
      <c r="AX52" s="95"/>
      <c r="AY52" s="96"/>
      <c r="AZ52" s="95"/>
      <c r="BA52" s="96"/>
    </row>
    <row r="53" spans="1:53" ht="79.5" x14ac:dyDescent="0.4">
      <c r="A53" s="88" t="s">
        <v>507</v>
      </c>
      <c r="B53" s="88" t="s">
        <v>508</v>
      </c>
      <c r="C53" s="88" t="s">
        <v>2160</v>
      </c>
      <c r="D53" s="88" t="s">
        <v>509</v>
      </c>
      <c r="E53" s="97" t="s">
        <v>510</v>
      </c>
      <c r="F53" s="83" t="s">
        <v>147</v>
      </c>
      <c r="G53" s="98" t="s">
        <v>511</v>
      </c>
      <c r="H53" s="88" t="s">
        <v>512</v>
      </c>
      <c r="I53" s="88" t="s">
        <v>513</v>
      </c>
      <c r="J53" s="99">
        <v>41659</v>
      </c>
      <c r="K53" s="99">
        <v>41674</v>
      </c>
      <c r="L53" s="99">
        <v>41688</v>
      </c>
      <c r="M53" s="541">
        <v>3</v>
      </c>
      <c r="N53" s="88" t="s">
        <v>151</v>
      </c>
      <c r="O53" s="99">
        <v>41690</v>
      </c>
      <c r="P53" s="100">
        <f t="shared" si="0"/>
        <v>31</v>
      </c>
      <c r="Q53" s="80">
        <f t="shared" si="1"/>
        <v>16</v>
      </c>
      <c r="R53" s="80">
        <f t="shared" si="2"/>
        <v>2</v>
      </c>
      <c r="S53" s="101" t="s">
        <v>152</v>
      </c>
      <c r="T53" s="101" t="s">
        <v>152</v>
      </c>
      <c r="U53" s="88" t="s">
        <v>514</v>
      </c>
      <c r="V53" s="88" t="s">
        <v>153</v>
      </c>
      <c r="W53" s="100">
        <v>2</v>
      </c>
      <c r="X53" s="88" t="s">
        <v>154</v>
      </c>
      <c r="Y53" s="90" t="s">
        <v>2232</v>
      </c>
      <c r="Z53" s="90" t="s">
        <v>515</v>
      </c>
      <c r="AA53" s="88">
        <v>2</v>
      </c>
      <c r="AB53" s="101" t="s">
        <v>516</v>
      </c>
      <c r="AC53" s="103">
        <v>3</v>
      </c>
      <c r="AD53" s="101" t="s">
        <v>517</v>
      </c>
      <c r="AE53" s="88" t="s">
        <v>518</v>
      </c>
      <c r="AF53" s="95"/>
      <c r="AG53" s="95"/>
      <c r="AH53" s="95"/>
      <c r="AI53" s="96"/>
      <c r="AJ53" s="95"/>
      <c r="AK53" s="96"/>
      <c r="AL53" s="95"/>
      <c r="AM53" s="95"/>
      <c r="AN53" s="96"/>
      <c r="AO53" s="95"/>
      <c r="AP53" s="96"/>
      <c r="AQ53" s="95"/>
      <c r="AR53" s="95"/>
      <c r="AS53" s="95"/>
      <c r="AT53" s="96"/>
      <c r="AU53" s="95"/>
      <c r="AV53" s="95"/>
      <c r="AW53" s="95"/>
      <c r="AX53" s="95"/>
      <c r="AY53" s="96"/>
      <c r="AZ53" s="95"/>
      <c r="BA53" s="96"/>
    </row>
    <row r="54" spans="1:53" ht="49.5" x14ac:dyDescent="0.4">
      <c r="A54" s="88" t="s">
        <v>519</v>
      </c>
      <c r="B54" s="88" t="s">
        <v>520</v>
      </c>
      <c r="C54" s="88" t="s">
        <v>2157</v>
      </c>
      <c r="D54" s="88" t="s">
        <v>509</v>
      </c>
      <c r="E54" s="97" t="s">
        <v>189</v>
      </c>
      <c r="F54" s="83" t="s">
        <v>147</v>
      </c>
      <c r="G54" s="98" t="s">
        <v>148</v>
      </c>
      <c r="H54" s="88" t="s">
        <v>521</v>
      </c>
      <c r="I54" s="101" t="s">
        <v>522</v>
      </c>
      <c r="J54" s="99">
        <v>41953</v>
      </c>
      <c r="K54" s="99">
        <v>41961</v>
      </c>
      <c r="L54" s="99">
        <v>41975</v>
      </c>
      <c r="M54" s="541" t="s">
        <v>152</v>
      </c>
      <c r="N54" s="88" t="s">
        <v>171</v>
      </c>
      <c r="O54" s="99">
        <v>42032</v>
      </c>
      <c r="P54" s="100">
        <f t="shared" si="0"/>
        <v>79</v>
      </c>
      <c r="Q54" s="80">
        <f t="shared" si="1"/>
        <v>71</v>
      </c>
      <c r="R54" s="80">
        <f t="shared" si="2"/>
        <v>57</v>
      </c>
      <c r="S54" s="101" t="s">
        <v>152</v>
      </c>
      <c r="T54" s="101" t="s">
        <v>152</v>
      </c>
      <c r="U54" s="80" t="s">
        <v>398</v>
      </c>
      <c r="V54" s="88" t="s">
        <v>153</v>
      </c>
      <c r="W54" s="100">
        <v>6</v>
      </c>
      <c r="X54" s="88" t="s">
        <v>154</v>
      </c>
      <c r="Y54" s="90" t="s">
        <v>155</v>
      </c>
      <c r="Z54" s="80" t="s">
        <v>156</v>
      </c>
      <c r="AA54" s="88">
        <v>2</v>
      </c>
      <c r="AB54" s="101" t="s">
        <v>523</v>
      </c>
      <c r="AC54" s="103">
        <v>2</v>
      </c>
      <c r="AD54" s="101" t="s">
        <v>524</v>
      </c>
      <c r="AE54" s="88" t="s">
        <v>525</v>
      </c>
      <c r="AF54" s="104"/>
      <c r="AG54" s="104"/>
      <c r="AH54" s="104"/>
      <c r="AI54" s="109"/>
      <c r="AJ54" s="104"/>
      <c r="AK54" s="104"/>
      <c r="AL54" s="104"/>
      <c r="AM54" s="104"/>
      <c r="AN54" s="109"/>
      <c r="AO54" s="104"/>
      <c r="AP54" s="96"/>
      <c r="AQ54" s="95"/>
      <c r="AR54" s="95"/>
      <c r="AS54" s="95"/>
      <c r="AT54" s="96"/>
      <c r="AU54" s="95"/>
      <c r="AV54" s="95"/>
      <c r="AW54" s="95"/>
      <c r="AX54" s="95"/>
      <c r="AY54" s="96"/>
      <c r="AZ54" s="95"/>
      <c r="BA54" s="96"/>
    </row>
    <row r="55" spans="1:53" ht="150" x14ac:dyDescent="0.4">
      <c r="A55" s="88" t="s">
        <v>526</v>
      </c>
      <c r="B55" s="88" t="s">
        <v>165</v>
      </c>
      <c r="C55" s="81" t="s">
        <v>242</v>
      </c>
      <c r="D55" s="88" t="s">
        <v>509</v>
      </c>
      <c r="E55" s="97" t="s">
        <v>189</v>
      </c>
      <c r="F55" s="83" t="s">
        <v>527</v>
      </c>
      <c r="G55" s="98" t="s">
        <v>168</v>
      </c>
      <c r="H55" s="88" t="s">
        <v>526</v>
      </c>
      <c r="I55" s="101" t="s">
        <v>170</v>
      </c>
      <c r="J55" s="99">
        <v>42620</v>
      </c>
      <c r="K55" s="99">
        <v>42626</v>
      </c>
      <c r="L55" s="99">
        <v>42640</v>
      </c>
      <c r="M55" s="541">
        <v>1</v>
      </c>
      <c r="N55" s="88" t="s">
        <v>151</v>
      </c>
      <c r="O55" s="99">
        <v>42642</v>
      </c>
      <c r="P55" s="100">
        <f t="shared" si="0"/>
        <v>22</v>
      </c>
      <c r="Q55" s="80">
        <f t="shared" si="1"/>
        <v>16</v>
      </c>
      <c r="R55" s="80">
        <f t="shared" si="2"/>
        <v>2</v>
      </c>
      <c r="S55" s="101" t="s">
        <v>152</v>
      </c>
      <c r="T55" s="101" t="s">
        <v>152</v>
      </c>
      <c r="U55" s="88" t="s">
        <v>185</v>
      </c>
      <c r="V55" s="88" t="s">
        <v>172</v>
      </c>
      <c r="W55" s="100">
        <v>3</v>
      </c>
      <c r="X55" s="88" t="s">
        <v>154</v>
      </c>
      <c r="Y55" s="80" t="s">
        <v>155</v>
      </c>
      <c r="Z55" s="90" t="s">
        <v>173</v>
      </c>
      <c r="AA55" s="88">
        <v>1</v>
      </c>
      <c r="AB55" s="90" t="s">
        <v>528</v>
      </c>
      <c r="AC55" s="103">
        <v>1</v>
      </c>
      <c r="AD55" s="101" t="s">
        <v>437</v>
      </c>
      <c r="AE55" s="88" t="s">
        <v>529</v>
      </c>
      <c r="AF55" s="104" t="s">
        <v>530</v>
      </c>
      <c r="AG55" s="104" t="s">
        <v>165</v>
      </c>
      <c r="AH55" s="104" t="s">
        <v>170</v>
      </c>
      <c r="AI55" s="109">
        <v>42718</v>
      </c>
      <c r="AJ55" s="95" t="s">
        <v>160</v>
      </c>
      <c r="AK55" s="96" t="s">
        <v>290</v>
      </c>
      <c r="AL55" s="104" t="s">
        <v>531</v>
      </c>
      <c r="AM55" s="104" t="s">
        <v>532</v>
      </c>
      <c r="AN55" s="109" t="s">
        <v>533</v>
      </c>
      <c r="AO55" s="104" t="s">
        <v>152</v>
      </c>
      <c r="AP55" s="96">
        <v>42765</v>
      </c>
      <c r="AQ55" s="95"/>
      <c r="AR55" s="95"/>
      <c r="AS55" s="95"/>
      <c r="AT55" s="96"/>
      <c r="AU55" s="95"/>
      <c r="AV55" s="95"/>
      <c r="AW55" s="95"/>
      <c r="AX55" s="95"/>
      <c r="AY55" s="96"/>
      <c r="AZ55" s="95"/>
      <c r="BA55" s="96"/>
    </row>
    <row r="56" spans="1:53" ht="45" x14ac:dyDescent="0.4">
      <c r="A56" s="88" t="s">
        <v>534</v>
      </c>
      <c r="B56" s="88" t="s">
        <v>535</v>
      </c>
      <c r="C56" s="88" t="s">
        <v>166</v>
      </c>
      <c r="D56" s="88" t="s">
        <v>536</v>
      </c>
      <c r="E56" s="97" t="s">
        <v>189</v>
      </c>
      <c r="F56" s="83" t="s">
        <v>167</v>
      </c>
      <c r="G56" s="98" t="s">
        <v>168</v>
      </c>
      <c r="H56" s="88" t="s">
        <v>537</v>
      </c>
      <c r="I56" s="88" t="s">
        <v>227</v>
      </c>
      <c r="J56" s="99">
        <v>41704</v>
      </c>
      <c r="K56" s="99">
        <v>42071</v>
      </c>
      <c r="L56" s="99">
        <v>42085</v>
      </c>
      <c r="M56" s="541" t="s">
        <v>152</v>
      </c>
      <c r="N56" s="88" t="s">
        <v>151</v>
      </c>
      <c r="O56" s="99">
        <v>42088</v>
      </c>
      <c r="P56" s="100">
        <f t="shared" si="0"/>
        <v>384</v>
      </c>
      <c r="Q56" s="80">
        <f t="shared" si="1"/>
        <v>17</v>
      </c>
      <c r="R56" s="80">
        <f t="shared" si="2"/>
        <v>3</v>
      </c>
      <c r="S56" s="101" t="s">
        <v>152</v>
      </c>
      <c r="T56" s="101" t="s">
        <v>152</v>
      </c>
      <c r="U56" s="88" t="s">
        <v>185</v>
      </c>
      <c r="V56" s="88" t="s">
        <v>172</v>
      </c>
      <c r="W56" s="100">
        <v>4</v>
      </c>
      <c r="X56" s="88" t="s">
        <v>154</v>
      </c>
      <c r="Y56" s="80" t="s">
        <v>155</v>
      </c>
      <c r="Z56" s="80" t="s">
        <v>156</v>
      </c>
      <c r="AA56" s="88">
        <v>1</v>
      </c>
      <c r="AB56" s="88" t="s">
        <v>2380</v>
      </c>
      <c r="AC56" s="103">
        <v>1</v>
      </c>
      <c r="AD56" s="88" t="s">
        <v>539</v>
      </c>
      <c r="AE56" s="88" t="s">
        <v>540</v>
      </c>
      <c r="AF56" s="104"/>
      <c r="AG56" s="104"/>
      <c r="AH56" s="104"/>
      <c r="AI56" s="109"/>
      <c r="AJ56" s="104"/>
      <c r="AK56" s="104"/>
      <c r="AL56" s="104"/>
      <c r="AM56" s="104"/>
      <c r="AN56" s="109"/>
      <c r="AO56" s="104"/>
      <c r="AP56" s="96"/>
      <c r="AQ56" s="95"/>
      <c r="AR56" s="95"/>
      <c r="AS56" s="95"/>
      <c r="AT56" s="96"/>
      <c r="AU56" s="95"/>
      <c r="AV56" s="95"/>
      <c r="AW56" s="95"/>
      <c r="AX56" s="95"/>
      <c r="AY56" s="96"/>
      <c r="AZ56" s="95"/>
      <c r="BA56" s="96"/>
    </row>
    <row r="57" spans="1:53" ht="165" x14ac:dyDescent="0.4">
      <c r="A57" s="88" t="s">
        <v>541</v>
      </c>
      <c r="B57" s="88" t="s">
        <v>165</v>
      </c>
      <c r="C57" s="88" t="s">
        <v>166</v>
      </c>
      <c r="D57" s="88" t="s">
        <v>542</v>
      </c>
      <c r="E57" s="97" t="s">
        <v>189</v>
      </c>
      <c r="F57" s="83" t="s">
        <v>167</v>
      </c>
      <c r="G57" s="98" t="s">
        <v>168</v>
      </c>
      <c r="H57" s="88" t="s">
        <v>543</v>
      </c>
      <c r="I57" s="88" t="s">
        <v>170</v>
      </c>
      <c r="J57" s="99">
        <v>42975</v>
      </c>
      <c r="K57" s="99">
        <v>42993</v>
      </c>
      <c r="L57" s="99">
        <v>43007</v>
      </c>
      <c r="M57" s="541" t="s">
        <v>152</v>
      </c>
      <c r="N57" s="88" t="s">
        <v>544</v>
      </c>
      <c r="O57" s="99">
        <v>43098</v>
      </c>
      <c r="P57" s="100">
        <f t="shared" si="0"/>
        <v>123</v>
      </c>
      <c r="Q57" s="80">
        <f>O57-K57</f>
        <v>105</v>
      </c>
      <c r="R57" s="80">
        <f t="shared" si="2"/>
        <v>91</v>
      </c>
      <c r="S57" s="101" t="s">
        <v>152</v>
      </c>
      <c r="T57" s="101" t="s">
        <v>152</v>
      </c>
      <c r="U57" s="88" t="s">
        <v>185</v>
      </c>
      <c r="V57" s="88" t="s">
        <v>172</v>
      </c>
      <c r="W57" s="100">
        <v>3</v>
      </c>
      <c r="X57" s="88" t="s">
        <v>154</v>
      </c>
      <c r="Y57" s="80" t="s">
        <v>155</v>
      </c>
      <c r="Z57" s="90" t="s">
        <v>173</v>
      </c>
      <c r="AA57" s="88">
        <v>1</v>
      </c>
      <c r="AB57" s="90" t="s">
        <v>545</v>
      </c>
      <c r="AC57" s="103">
        <v>1</v>
      </c>
      <c r="AD57" s="88" t="s">
        <v>539</v>
      </c>
      <c r="AE57" s="101"/>
      <c r="AF57" s="104"/>
      <c r="AG57" s="104"/>
      <c r="AH57" s="104"/>
      <c r="AI57" s="109"/>
      <c r="AJ57" s="104"/>
      <c r="AK57" s="104"/>
      <c r="AL57" s="104"/>
      <c r="AM57" s="104"/>
      <c r="AN57" s="109"/>
      <c r="AO57" s="104"/>
      <c r="AP57" s="96"/>
      <c r="AQ57" s="95"/>
      <c r="AR57" s="95"/>
      <c r="AS57" s="95"/>
      <c r="AT57" s="96"/>
      <c r="AU57" s="95"/>
      <c r="AV57" s="95"/>
      <c r="AW57" s="95"/>
      <c r="AX57" s="95"/>
      <c r="AY57" s="96"/>
      <c r="AZ57" s="95"/>
      <c r="BA57" s="96"/>
    </row>
    <row r="58" spans="1:53" ht="75" x14ac:dyDescent="0.4">
      <c r="A58" s="88" t="s">
        <v>2370</v>
      </c>
      <c r="B58" s="88" t="s">
        <v>2373</v>
      </c>
      <c r="C58" s="88" t="s">
        <v>166</v>
      </c>
      <c r="D58" s="88" t="s">
        <v>771</v>
      </c>
      <c r="E58" s="97" t="s">
        <v>189</v>
      </c>
      <c r="F58" s="83" t="s">
        <v>2375</v>
      </c>
      <c r="G58" s="98" t="s">
        <v>2376</v>
      </c>
      <c r="H58" s="88" t="s">
        <v>2374</v>
      </c>
      <c r="I58" s="88" t="s">
        <v>170</v>
      </c>
      <c r="J58" s="106">
        <v>43776</v>
      </c>
      <c r="K58" s="106">
        <v>43789</v>
      </c>
      <c r="L58" s="106">
        <v>43803</v>
      </c>
      <c r="M58" s="542" t="s">
        <v>152</v>
      </c>
      <c r="N58" s="80" t="s">
        <v>544</v>
      </c>
      <c r="O58" s="106">
        <v>43863</v>
      </c>
      <c r="P58" s="107">
        <f t="shared" si="0"/>
        <v>87</v>
      </c>
      <c r="Q58" s="80">
        <f>O58-K58</f>
        <v>74</v>
      </c>
      <c r="R58" s="80">
        <f t="shared" si="2"/>
        <v>60</v>
      </c>
      <c r="S58" s="101" t="s">
        <v>152</v>
      </c>
      <c r="T58" s="101" t="s">
        <v>152</v>
      </c>
      <c r="U58" s="88" t="s">
        <v>211</v>
      </c>
      <c r="V58" s="88" t="s">
        <v>172</v>
      </c>
      <c r="W58" s="107">
        <v>1</v>
      </c>
      <c r="X58" s="88" t="s">
        <v>154</v>
      </c>
      <c r="Y58" s="80" t="s">
        <v>212</v>
      </c>
      <c r="Z58" s="90" t="s">
        <v>2377</v>
      </c>
      <c r="AA58" s="88">
        <v>1</v>
      </c>
      <c r="AB58" s="90" t="s">
        <v>2378</v>
      </c>
      <c r="AC58" s="103">
        <v>1</v>
      </c>
      <c r="AD58" s="88" t="s">
        <v>2379</v>
      </c>
      <c r="AE58" s="101"/>
      <c r="AF58" s="104"/>
      <c r="AG58" s="104"/>
      <c r="AH58" s="104"/>
      <c r="AI58" s="109"/>
      <c r="AJ58" s="104"/>
      <c r="AK58" s="104"/>
      <c r="AL58" s="104"/>
      <c r="AM58" s="104"/>
      <c r="AN58" s="109"/>
      <c r="AO58" s="104"/>
      <c r="AP58" s="96"/>
      <c r="AQ58" s="95"/>
      <c r="AR58" s="95"/>
      <c r="AS58" s="95"/>
      <c r="AT58" s="96"/>
      <c r="AU58" s="95"/>
      <c r="AV58" s="95"/>
      <c r="AW58" s="95"/>
      <c r="AX58" s="95"/>
      <c r="AY58" s="96"/>
      <c r="AZ58" s="95"/>
      <c r="BA58" s="96"/>
    </row>
    <row r="59" spans="1:53" ht="45" x14ac:dyDescent="0.4">
      <c r="A59" s="88" t="s">
        <v>2371</v>
      </c>
      <c r="B59" s="88" t="s">
        <v>165</v>
      </c>
      <c r="C59" s="88" t="s">
        <v>166</v>
      </c>
      <c r="D59" s="88" t="s">
        <v>771</v>
      </c>
      <c r="E59" s="97" t="s">
        <v>189</v>
      </c>
      <c r="F59" s="83" t="s">
        <v>2375</v>
      </c>
      <c r="G59" s="98" t="s">
        <v>168</v>
      </c>
      <c r="H59" s="88" t="s">
        <v>2372</v>
      </c>
      <c r="I59" s="88" t="s">
        <v>170</v>
      </c>
      <c r="J59" s="106">
        <v>43776</v>
      </c>
      <c r="K59" s="106">
        <v>43789</v>
      </c>
      <c r="L59" s="106">
        <v>43803</v>
      </c>
      <c r="M59" s="542" t="s">
        <v>152</v>
      </c>
      <c r="N59" s="80" t="s">
        <v>544</v>
      </c>
      <c r="O59" s="106">
        <v>43863</v>
      </c>
      <c r="P59" s="107">
        <f t="shared" si="0"/>
        <v>87</v>
      </c>
      <c r="Q59" s="80">
        <f>O59-K59</f>
        <v>74</v>
      </c>
      <c r="R59" s="80">
        <f t="shared" si="2"/>
        <v>60</v>
      </c>
      <c r="S59" s="101" t="s">
        <v>152</v>
      </c>
      <c r="T59" s="101" t="s">
        <v>152</v>
      </c>
      <c r="U59" s="80" t="s">
        <v>185</v>
      </c>
      <c r="V59" s="88" t="s">
        <v>172</v>
      </c>
      <c r="W59" s="100">
        <v>3</v>
      </c>
      <c r="X59" s="88" t="s">
        <v>154</v>
      </c>
      <c r="Y59" s="80" t="s">
        <v>155</v>
      </c>
      <c r="Z59" s="90" t="s">
        <v>173</v>
      </c>
      <c r="AA59" s="88">
        <v>1</v>
      </c>
      <c r="AB59" s="101" t="s">
        <v>2381</v>
      </c>
      <c r="AC59" s="103">
        <v>1</v>
      </c>
      <c r="AD59" s="101" t="s">
        <v>539</v>
      </c>
      <c r="AE59" s="101"/>
      <c r="AF59" s="104"/>
      <c r="AG59" s="104"/>
      <c r="AH59" s="104"/>
      <c r="AI59" s="109"/>
      <c r="AJ59" s="104"/>
      <c r="AK59" s="104"/>
      <c r="AL59" s="104"/>
      <c r="AM59" s="104"/>
      <c r="AN59" s="109"/>
      <c r="AO59" s="104"/>
      <c r="AP59" s="96"/>
      <c r="AQ59" s="95"/>
      <c r="AR59" s="95"/>
      <c r="AS59" s="95"/>
      <c r="AT59" s="96"/>
      <c r="AU59" s="95"/>
      <c r="AV59" s="95"/>
      <c r="AW59" s="95"/>
      <c r="AX59" s="95"/>
      <c r="AY59" s="96"/>
      <c r="AZ59" s="95"/>
      <c r="BA59" s="96"/>
    </row>
    <row r="60" spans="1:53" ht="45" x14ac:dyDescent="0.4">
      <c r="A60" s="88" t="s">
        <v>546</v>
      </c>
      <c r="B60" s="88" t="s">
        <v>547</v>
      </c>
      <c r="C60" s="88" t="s">
        <v>166</v>
      </c>
      <c r="D60" s="88" t="s">
        <v>548</v>
      </c>
      <c r="E60" s="97" t="s">
        <v>189</v>
      </c>
      <c r="F60" s="83" t="s">
        <v>167</v>
      </c>
      <c r="G60" s="98" t="s">
        <v>168</v>
      </c>
      <c r="H60" s="88" t="s">
        <v>549</v>
      </c>
      <c r="I60" s="88" t="s">
        <v>227</v>
      </c>
      <c r="J60" s="99">
        <v>42025</v>
      </c>
      <c r="K60" s="99">
        <v>42026</v>
      </c>
      <c r="L60" s="99">
        <v>42040</v>
      </c>
      <c r="M60" s="541">
        <v>3</v>
      </c>
      <c r="N60" s="99" t="s">
        <v>151</v>
      </c>
      <c r="O60" s="99">
        <v>42055</v>
      </c>
      <c r="P60" s="100">
        <f t="shared" si="0"/>
        <v>30</v>
      </c>
      <c r="Q60" s="80">
        <f t="shared" si="1"/>
        <v>29</v>
      </c>
      <c r="R60" s="80">
        <f t="shared" si="2"/>
        <v>15</v>
      </c>
      <c r="S60" s="101" t="s">
        <v>152</v>
      </c>
      <c r="T60" s="101" t="s">
        <v>152</v>
      </c>
      <c r="U60" s="80" t="s">
        <v>185</v>
      </c>
      <c r="V60" s="88" t="s">
        <v>172</v>
      </c>
      <c r="W60" s="100">
        <v>4</v>
      </c>
      <c r="X60" s="88" t="s">
        <v>154</v>
      </c>
      <c r="Y60" s="80" t="s">
        <v>155</v>
      </c>
      <c r="Z60" s="90" t="s">
        <v>156</v>
      </c>
      <c r="AA60" s="88">
        <v>1</v>
      </c>
      <c r="AB60" s="88" t="s">
        <v>538</v>
      </c>
      <c r="AC60" s="103">
        <v>1</v>
      </c>
      <c r="AD60" s="101" t="s">
        <v>539</v>
      </c>
      <c r="AE60" s="101" t="s">
        <v>550</v>
      </c>
      <c r="AF60" s="104"/>
      <c r="AG60" s="104"/>
      <c r="AH60" s="104"/>
      <c r="AI60" s="109"/>
      <c r="AJ60" s="104"/>
      <c r="AK60" s="104"/>
      <c r="AL60" s="104"/>
      <c r="AM60" s="104"/>
      <c r="AN60" s="109"/>
      <c r="AO60" s="104"/>
      <c r="AP60" s="96"/>
      <c r="AQ60" s="95"/>
      <c r="AR60" s="95"/>
      <c r="AS60" s="95"/>
      <c r="AT60" s="96"/>
      <c r="AU60" s="95"/>
      <c r="AV60" s="95"/>
      <c r="AW60" s="95"/>
      <c r="AX60" s="95"/>
      <c r="AY60" s="96"/>
      <c r="AZ60" s="95"/>
      <c r="BA60" s="96"/>
    </row>
    <row r="61" spans="1:53" ht="105" x14ac:dyDescent="0.4">
      <c r="A61" s="88" t="s">
        <v>551</v>
      </c>
      <c r="B61" s="88" t="s">
        <v>552</v>
      </c>
      <c r="C61" s="88" t="s">
        <v>166</v>
      </c>
      <c r="D61" s="88" t="s">
        <v>553</v>
      </c>
      <c r="E61" s="97" t="s">
        <v>146</v>
      </c>
      <c r="F61" s="83" t="s">
        <v>147</v>
      </c>
      <c r="G61" s="98" t="s">
        <v>148</v>
      </c>
      <c r="H61" s="88" t="s">
        <v>554</v>
      </c>
      <c r="I61" s="88" t="s">
        <v>555</v>
      </c>
      <c r="J61" s="99">
        <v>42984</v>
      </c>
      <c r="K61" s="99">
        <v>42996</v>
      </c>
      <c r="L61" s="99">
        <v>43010</v>
      </c>
      <c r="M61" s="545" t="s">
        <v>152</v>
      </c>
      <c r="N61" s="99" t="s">
        <v>171</v>
      </c>
      <c r="O61" s="99">
        <v>43026</v>
      </c>
      <c r="P61" s="100">
        <f t="shared" si="0"/>
        <v>42</v>
      </c>
      <c r="Q61" s="80">
        <f t="shared" si="1"/>
        <v>30</v>
      </c>
      <c r="R61" s="80">
        <f t="shared" si="2"/>
        <v>16</v>
      </c>
      <c r="S61" s="101" t="s">
        <v>152</v>
      </c>
      <c r="T61" s="101" t="s">
        <v>152</v>
      </c>
      <c r="U61" s="80" t="s">
        <v>556</v>
      </c>
      <c r="V61" s="88" t="s">
        <v>153</v>
      </c>
      <c r="W61" s="100">
        <v>2</v>
      </c>
      <c r="X61" s="88" t="s">
        <v>154</v>
      </c>
      <c r="Y61" s="80" t="s">
        <v>155</v>
      </c>
      <c r="Z61" s="90" t="s">
        <v>156</v>
      </c>
      <c r="AA61" s="88">
        <v>3</v>
      </c>
      <c r="AB61" s="101" t="s">
        <v>557</v>
      </c>
      <c r="AC61" s="88">
        <v>2</v>
      </c>
      <c r="AD61" s="101" t="s">
        <v>558</v>
      </c>
      <c r="AE61" s="101"/>
      <c r="AF61" s="104"/>
      <c r="AG61" s="104"/>
      <c r="AH61" s="104"/>
      <c r="AI61" s="109"/>
      <c r="AJ61" s="104"/>
      <c r="AK61" s="104"/>
      <c r="AL61" s="104"/>
      <c r="AM61" s="104"/>
      <c r="AN61" s="109"/>
      <c r="AO61" s="104"/>
      <c r="AP61" s="96"/>
      <c r="AQ61" s="95"/>
      <c r="AR61" s="95"/>
      <c r="AS61" s="95"/>
      <c r="AT61" s="96"/>
      <c r="AU61" s="95"/>
      <c r="AV61" s="95"/>
      <c r="AW61" s="95"/>
      <c r="AX61" s="95"/>
      <c r="AY61" s="96"/>
      <c r="AZ61" s="95"/>
      <c r="BA61" s="96"/>
    </row>
    <row r="62" spans="1:53" ht="45" x14ac:dyDescent="0.4">
      <c r="A62" s="88" t="s">
        <v>559</v>
      </c>
      <c r="B62" s="88" t="s">
        <v>165</v>
      </c>
      <c r="C62" s="88" t="s">
        <v>166</v>
      </c>
      <c r="D62" s="88" t="s">
        <v>560</v>
      </c>
      <c r="E62" s="97" t="s">
        <v>189</v>
      </c>
      <c r="F62" s="83" t="s">
        <v>167</v>
      </c>
      <c r="G62" s="98" t="s">
        <v>168</v>
      </c>
      <c r="H62" s="88" t="s">
        <v>561</v>
      </c>
      <c r="I62" s="88" t="s">
        <v>227</v>
      </c>
      <c r="J62" s="99">
        <v>42572</v>
      </c>
      <c r="K62" s="99">
        <v>42580</v>
      </c>
      <c r="L62" s="99">
        <v>42594</v>
      </c>
      <c r="M62" s="541" t="s">
        <v>152</v>
      </c>
      <c r="N62" s="88" t="s">
        <v>151</v>
      </c>
      <c r="O62" s="99">
        <v>42605</v>
      </c>
      <c r="P62" s="100">
        <f t="shared" si="0"/>
        <v>33</v>
      </c>
      <c r="Q62" s="80">
        <f t="shared" si="1"/>
        <v>25</v>
      </c>
      <c r="R62" s="80">
        <f t="shared" si="2"/>
        <v>11</v>
      </c>
      <c r="S62" s="101" t="s">
        <v>152</v>
      </c>
      <c r="T62" s="101" t="s">
        <v>152</v>
      </c>
      <c r="U62" s="80" t="s">
        <v>185</v>
      </c>
      <c r="V62" s="88" t="s">
        <v>153</v>
      </c>
      <c r="W62" s="100">
        <v>4</v>
      </c>
      <c r="X62" s="88" t="s">
        <v>154</v>
      </c>
      <c r="Y62" s="80" t="s">
        <v>155</v>
      </c>
      <c r="Z62" s="80" t="s">
        <v>156</v>
      </c>
      <c r="AA62" s="88">
        <v>1</v>
      </c>
      <c r="AB62" s="101" t="s">
        <v>562</v>
      </c>
      <c r="AC62" s="88">
        <v>1</v>
      </c>
      <c r="AD62" s="88" t="s">
        <v>563</v>
      </c>
      <c r="AE62" s="83" t="s">
        <v>564</v>
      </c>
      <c r="AF62" s="104"/>
      <c r="AG62" s="104"/>
      <c r="AH62" s="104"/>
      <c r="AI62" s="109"/>
      <c r="AJ62" s="104"/>
      <c r="AK62" s="104"/>
      <c r="AL62" s="104"/>
      <c r="AM62" s="104"/>
      <c r="AN62" s="109"/>
      <c r="AO62" s="104"/>
      <c r="AP62" s="96"/>
      <c r="AQ62" s="95"/>
      <c r="AR62" s="95"/>
      <c r="AS62" s="95"/>
      <c r="AT62" s="96"/>
      <c r="AU62" s="95"/>
      <c r="AV62" s="95"/>
      <c r="AW62" s="95"/>
      <c r="AX62" s="95"/>
      <c r="AY62" s="96"/>
      <c r="AZ62" s="95"/>
      <c r="BA62" s="96"/>
    </row>
    <row r="63" spans="1:53" ht="274.5" x14ac:dyDescent="0.4">
      <c r="A63" s="88" t="s">
        <v>565</v>
      </c>
      <c r="B63" s="88" t="s">
        <v>566</v>
      </c>
      <c r="C63" s="81" t="s">
        <v>242</v>
      </c>
      <c r="D63" s="88" t="s">
        <v>560</v>
      </c>
      <c r="E63" s="108" t="s">
        <v>146</v>
      </c>
      <c r="F63" s="83" t="s">
        <v>147</v>
      </c>
      <c r="G63" s="105" t="s">
        <v>148</v>
      </c>
      <c r="H63" s="80" t="s">
        <v>567</v>
      </c>
      <c r="I63" s="80" t="s">
        <v>568</v>
      </c>
      <c r="J63" s="106">
        <v>42584</v>
      </c>
      <c r="K63" s="106">
        <v>42588</v>
      </c>
      <c r="L63" s="106">
        <v>42602</v>
      </c>
      <c r="M63" s="542" t="s">
        <v>152</v>
      </c>
      <c r="N63" s="80" t="s">
        <v>151</v>
      </c>
      <c r="O63" s="106">
        <v>42605</v>
      </c>
      <c r="P63" s="107">
        <f t="shared" si="0"/>
        <v>21</v>
      </c>
      <c r="Q63" s="80">
        <f t="shared" si="1"/>
        <v>17</v>
      </c>
      <c r="R63" s="80">
        <f t="shared" si="2"/>
        <v>3</v>
      </c>
      <c r="S63" s="101" t="s">
        <v>152</v>
      </c>
      <c r="T63" s="101" t="s">
        <v>152</v>
      </c>
      <c r="U63" s="80" t="s">
        <v>569</v>
      </c>
      <c r="V63" s="88" t="s">
        <v>153</v>
      </c>
      <c r="W63" s="107">
        <v>2</v>
      </c>
      <c r="X63" s="80" t="s">
        <v>154</v>
      </c>
      <c r="Y63" s="90" t="s">
        <v>155</v>
      </c>
      <c r="Z63" s="80" t="s">
        <v>156</v>
      </c>
      <c r="AA63" s="80">
        <v>10</v>
      </c>
      <c r="AB63" s="101" t="s">
        <v>570</v>
      </c>
      <c r="AC63" s="80">
        <v>3</v>
      </c>
      <c r="AD63" s="90" t="s">
        <v>571</v>
      </c>
      <c r="AE63" s="80" t="s">
        <v>572</v>
      </c>
      <c r="AF63" s="94" t="s">
        <v>573</v>
      </c>
      <c r="AG63" s="94" t="s">
        <v>574</v>
      </c>
      <c r="AH63" s="94" t="s">
        <v>568</v>
      </c>
      <c r="AI63" s="121">
        <v>42948</v>
      </c>
      <c r="AJ63" s="95" t="s">
        <v>160</v>
      </c>
      <c r="AK63" s="92" t="s">
        <v>575</v>
      </c>
      <c r="AL63" s="94" t="s">
        <v>576</v>
      </c>
      <c r="AM63" s="94" t="s">
        <v>577</v>
      </c>
      <c r="AN63" s="121" t="s">
        <v>578</v>
      </c>
      <c r="AO63" s="94" t="s">
        <v>152</v>
      </c>
      <c r="AP63" s="96">
        <v>42968</v>
      </c>
      <c r="AQ63" s="95"/>
      <c r="AR63" s="95"/>
      <c r="AS63" s="95"/>
      <c r="AT63" s="96"/>
      <c r="AU63" s="95"/>
      <c r="AV63" s="95"/>
      <c r="AW63" s="95"/>
      <c r="AX63" s="95"/>
      <c r="AY63" s="96"/>
      <c r="AZ63" s="95"/>
      <c r="BA63" s="96"/>
    </row>
    <row r="64" spans="1:53" ht="195" x14ac:dyDescent="0.4">
      <c r="A64" s="88" t="s">
        <v>579</v>
      </c>
      <c r="B64" s="88" t="s">
        <v>580</v>
      </c>
      <c r="C64" s="88" t="s">
        <v>166</v>
      </c>
      <c r="D64" s="88" t="s">
        <v>560</v>
      </c>
      <c r="E64" s="108" t="s">
        <v>146</v>
      </c>
      <c r="F64" s="83" t="s">
        <v>147</v>
      </c>
      <c r="G64" s="105" t="s">
        <v>148</v>
      </c>
      <c r="H64" s="80" t="s">
        <v>581</v>
      </c>
      <c r="I64" s="80" t="s">
        <v>568</v>
      </c>
      <c r="J64" s="106">
        <v>42587</v>
      </c>
      <c r="K64" s="106">
        <v>42591</v>
      </c>
      <c r="L64" s="106">
        <v>42605</v>
      </c>
      <c r="M64" s="542">
        <v>3</v>
      </c>
      <c r="N64" s="80" t="s">
        <v>151</v>
      </c>
      <c r="O64" s="106">
        <v>42968</v>
      </c>
      <c r="P64" s="107">
        <f t="shared" si="0"/>
        <v>381</v>
      </c>
      <c r="Q64" s="80">
        <f t="shared" si="1"/>
        <v>377</v>
      </c>
      <c r="R64" s="80">
        <f t="shared" si="2"/>
        <v>363</v>
      </c>
      <c r="S64" s="101" t="s">
        <v>152</v>
      </c>
      <c r="T64" s="101" t="s">
        <v>152</v>
      </c>
      <c r="U64" s="88" t="s">
        <v>195</v>
      </c>
      <c r="V64" s="88" t="s">
        <v>153</v>
      </c>
      <c r="W64" s="107">
        <v>5</v>
      </c>
      <c r="X64" s="80" t="s">
        <v>154</v>
      </c>
      <c r="Y64" s="90" t="s">
        <v>155</v>
      </c>
      <c r="Z64" s="90" t="s">
        <v>582</v>
      </c>
      <c r="AA64" s="80">
        <v>7</v>
      </c>
      <c r="AB64" s="101" t="s">
        <v>583</v>
      </c>
      <c r="AC64" s="80">
        <v>2</v>
      </c>
      <c r="AD64" s="90" t="s">
        <v>584</v>
      </c>
      <c r="AE64" s="80" t="s">
        <v>585</v>
      </c>
      <c r="AF64" s="94"/>
      <c r="AG64" s="94"/>
      <c r="AH64" s="94"/>
      <c r="AI64" s="121"/>
      <c r="AJ64" s="94"/>
      <c r="AK64" s="94"/>
      <c r="AL64" s="94"/>
      <c r="AM64" s="94"/>
      <c r="AN64" s="121"/>
      <c r="AO64" s="94"/>
      <c r="AP64" s="96"/>
      <c r="AQ64" s="95"/>
      <c r="AR64" s="95"/>
      <c r="AS64" s="95"/>
      <c r="AT64" s="96"/>
      <c r="AU64" s="95"/>
      <c r="AV64" s="95"/>
      <c r="AW64" s="95"/>
      <c r="AX64" s="95"/>
      <c r="AY64" s="96"/>
      <c r="AZ64" s="95"/>
      <c r="BA64" s="96"/>
    </row>
    <row r="65" spans="1:53" ht="135" x14ac:dyDescent="0.4">
      <c r="A65" s="88" t="s">
        <v>586</v>
      </c>
      <c r="B65" s="88" t="s">
        <v>363</v>
      </c>
      <c r="C65" s="88" t="s">
        <v>166</v>
      </c>
      <c r="D65" s="88" t="s">
        <v>560</v>
      </c>
      <c r="E65" s="108" t="s">
        <v>146</v>
      </c>
      <c r="F65" s="83" t="s">
        <v>147</v>
      </c>
      <c r="G65" s="105" t="s">
        <v>148</v>
      </c>
      <c r="H65" s="80" t="s">
        <v>587</v>
      </c>
      <c r="I65" s="80" t="s">
        <v>366</v>
      </c>
      <c r="J65" s="106">
        <v>42948</v>
      </c>
      <c r="K65" s="106">
        <v>42952</v>
      </c>
      <c r="L65" s="106">
        <v>42966</v>
      </c>
      <c r="M65" s="543" t="s">
        <v>152</v>
      </c>
      <c r="N65" s="80" t="s">
        <v>151</v>
      </c>
      <c r="O65" s="106">
        <v>42968</v>
      </c>
      <c r="P65" s="107">
        <f t="shared" si="0"/>
        <v>20</v>
      </c>
      <c r="Q65" s="80">
        <f t="shared" si="1"/>
        <v>16</v>
      </c>
      <c r="R65" s="80">
        <f t="shared" si="2"/>
        <v>2</v>
      </c>
      <c r="S65" s="101" t="s">
        <v>152</v>
      </c>
      <c r="T65" s="101" t="s">
        <v>152</v>
      </c>
      <c r="U65" s="88" t="s">
        <v>180</v>
      </c>
      <c r="V65" s="80" t="s">
        <v>337</v>
      </c>
      <c r="W65" s="107">
        <v>2</v>
      </c>
      <c r="X65" s="80" t="s">
        <v>154</v>
      </c>
      <c r="Y65" s="80" t="s">
        <v>155</v>
      </c>
      <c r="Z65" s="90" t="s">
        <v>588</v>
      </c>
      <c r="AA65" s="80">
        <v>4</v>
      </c>
      <c r="AB65" s="101" t="s">
        <v>589</v>
      </c>
      <c r="AC65" s="80">
        <v>1</v>
      </c>
      <c r="AD65" s="90" t="s">
        <v>590</v>
      </c>
      <c r="AE65" s="80" t="s">
        <v>591</v>
      </c>
      <c r="AF65" s="94"/>
      <c r="AG65" s="94"/>
      <c r="AH65" s="94"/>
      <c r="AI65" s="121"/>
      <c r="AJ65" s="94"/>
      <c r="AK65" s="94"/>
      <c r="AL65" s="94"/>
      <c r="AM65" s="94"/>
      <c r="AN65" s="121"/>
      <c r="AO65" s="94"/>
      <c r="AP65" s="96"/>
      <c r="AQ65" s="95"/>
      <c r="AR65" s="95"/>
      <c r="AS65" s="95"/>
      <c r="AT65" s="96"/>
      <c r="AU65" s="95"/>
      <c r="AV65" s="95"/>
      <c r="AW65" s="95"/>
      <c r="AX65" s="95"/>
      <c r="AY65" s="96"/>
      <c r="AZ65" s="95"/>
      <c r="BA65" s="96"/>
    </row>
    <row r="66" spans="1:53" ht="180" x14ac:dyDescent="0.4">
      <c r="A66" s="88" t="s">
        <v>592</v>
      </c>
      <c r="B66" s="88" t="s">
        <v>593</v>
      </c>
      <c r="C66" s="88" t="s">
        <v>242</v>
      </c>
      <c r="D66" s="88" t="s">
        <v>560</v>
      </c>
      <c r="E66" s="108" t="s">
        <v>146</v>
      </c>
      <c r="F66" s="83" t="s">
        <v>147</v>
      </c>
      <c r="G66" s="105" t="s">
        <v>270</v>
      </c>
      <c r="H66" s="80" t="s">
        <v>594</v>
      </c>
      <c r="I66" s="80" t="s">
        <v>595</v>
      </c>
      <c r="J66" s="106">
        <v>42948</v>
      </c>
      <c r="K66" s="106">
        <v>42952</v>
      </c>
      <c r="L66" s="106">
        <v>42966</v>
      </c>
      <c r="M66" s="543" t="s">
        <v>152</v>
      </c>
      <c r="N66" s="80" t="s">
        <v>151</v>
      </c>
      <c r="O66" s="106">
        <v>42968</v>
      </c>
      <c r="P66" s="107">
        <f t="shared" si="0"/>
        <v>20</v>
      </c>
      <c r="Q66" s="80">
        <f t="shared" si="1"/>
        <v>16</v>
      </c>
      <c r="R66" s="80">
        <f t="shared" si="2"/>
        <v>2</v>
      </c>
      <c r="S66" s="101" t="s">
        <v>152</v>
      </c>
      <c r="T66" s="101" t="s">
        <v>152</v>
      </c>
      <c r="U66" s="88" t="s">
        <v>195</v>
      </c>
      <c r="V66" s="88" t="s">
        <v>153</v>
      </c>
      <c r="W66" s="107">
        <v>5</v>
      </c>
      <c r="X66" s="88" t="s">
        <v>154</v>
      </c>
      <c r="Y66" s="90" t="s">
        <v>155</v>
      </c>
      <c r="Z66" s="80" t="s">
        <v>156</v>
      </c>
      <c r="AA66" s="80">
        <v>5</v>
      </c>
      <c r="AB66" s="101" t="s">
        <v>596</v>
      </c>
      <c r="AC66" s="80">
        <v>2</v>
      </c>
      <c r="AD66" s="90" t="s">
        <v>597</v>
      </c>
      <c r="AE66" s="80"/>
      <c r="AF66" s="94"/>
      <c r="AG66" s="94"/>
      <c r="AH66" s="94"/>
      <c r="AI66" s="121"/>
      <c r="AJ66" s="94"/>
      <c r="AK66" s="90" t="s">
        <v>2233</v>
      </c>
      <c r="AL66" s="90" t="s">
        <v>2234</v>
      </c>
      <c r="AM66" s="94" t="s">
        <v>598</v>
      </c>
      <c r="AN66" s="121"/>
      <c r="AO66" s="94"/>
      <c r="AP66" s="96"/>
      <c r="AQ66" s="95"/>
      <c r="AR66" s="95"/>
      <c r="AS66" s="95"/>
      <c r="AT66" s="96"/>
      <c r="AU66" s="95"/>
      <c r="AV66" s="95"/>
      <c r="AW66" s="95"/>
      <c r="AX66" s="95"/>
      <c r="AY66" s="96"/>
      <c r="AZ66" s="95"/>
      <c r="BA66" s="96"/>
    </row>
    <row r="67" spans="1:53" ht="240" x14ac:dyDescent="0.4">
      <c r="A67" s="88" t="s">
        <v>599</v>
      </c>
      <c r="B67" s="88" t="s">
        <v>600</v>
      </c>
      <c r="C67" s="88" t="s">
        <v>166</v>
      </c>
      <c r="D67" s="88" t="s">
        <v>560</v>
      </c>
      <c r="E67" s="108" t="s">
        <v>601</v>
      </c>
      <c r="F67" s="83" t="s">
        <v>147</v>
      </c>
      <c r="G67" s="98" t="s">
        <v>148</v>
      </c>
      <c r="H67" s="80" t="s">
        <v>602</v>
      </c>
      <c r="I67" s="80" t="s">
        <v>603</v>
      </c>
      <c r="J67" s="106">
        <v>42948</v>
      </c>
      <c r="K67" s="106">
        <v>42952</v>
      </c>
      <c r="L67" s="106">
        <v>42966</v>
      </c>
      <c r="M67" s="543" t="s">
        <v>152</v>
      </c>
      <c r="N67" s="80" t="s">
        <v>151</v>
      </c>
      <c r="O67" s="106">
        <v>42968</v>
      </c>
      <c r="P67" s="107">
        <f t="shared" si="0"/>
        <v>20</v>
      </c>
      <c r="Q67" s="80">
        <f t="shared" si="1"/>
        <v>16</v>
      </c>
      <c r="R67" s="80">
        <f t="shared" si="2"/>
        <v>2</v>
      </c>
      <c r="S67" s="101" t="s">
        <v>152</v>
      </c>
      <c r="T67" s="101" t="s">
        <v>152</v>
      </c>
      <c r="U67" s="80" t="s">
        <v>604</v>
      </c>
      <c r="V67" s="88" t="s">
        <v>172</v>
      </c>
      <c r="W67" s="107">
        <v>4</v>
      </c>
      <c r="X67" s="88" t="s">
        <v>154</v>
      </c>
      <c r="Y67" s="90" t="s">
        <v>202</v>
      </c>
      <c r="Z67" s="90" t="s">
        <v>605</v>
      </c>
      <c r="AA67" s="80">
        <v>7</v>
      </c>
      <c r="AB67" s="101" t="s">
        <v>606</v>
      </c>
      <c r="AC67" s="80">
        <v>2</v>
      </c>
      <c r="AD67" s="90" t="s">
        <v>607</v>
      </c>
      <c r="AE67" s="80" t="s">
        <v>608</v>
      </c>
      <c r="AF67" s="94"/>
      <c r="AG67" s="94"/>
      <c r="AH67" s="94"/>
      <c r="AI67" s="121"/>
      <c r="AJ67" s="94"/>
      <c r="AK67" s="94"/>
      <c r="AL67" s="94"/>
      <c r="AM67" s="94"/>
      <c r="AN67" s="121"/>
      <c r="AO67" s="94"/>
      <c r="AP67" s="96"/>
      <c r="AQ67" s="95"/>
      <c r="AR67" s="95"/>
      <c r="AS67" s="95"/>
      <c r="AT67" s="96"/>
      <c r="AU67" s="95"/>
      <c r="AV67" s="95"/>
      <c r="AW67" s="95"/>
      <c r="AX67" s="95"/>
      <c r="AY67" s="96"/>
      <c r="AZ67" s="95"/>
      <c r="BA67" s="96"/>
    </row>
    <row r="68" spans="1:53" ht="75" x14ac:dyDescent="0.4">
      <c r="A68" s="88" t="s">
        <v>609</v>
      </c>
      <c r="B68" s="88" t="s">
        <v>232</v>
      </c>
      <c r="C68" s="88" t="s">
        <v>166</v>
      </c>
      <c r="D68" s="88" t="s">
        <v>560</v>
      </c>
      <c r="E68" s="97" t="s">
        <v>189</v>
      </c>
      <c r="F68" s="83" t="s">
        <v>2235</v>
      </c>
      <c r="G68" s="98" t="s">
        <v>148</v>
      </c>
      <c r="H68" s="80" t="s">
        <v>2236</v>
      </c>
      <c r="I68" s="80" t="s">
        <v>2237</v>
      </c>
      <c r="J68" s="106">
        <v>43083</v>
      </c>
      <c r="K68" s="106">
        <v>43096</v>
      </c>
      <c r="L68" s="106">
        <v>43110</v>
      </c>
      <c r="M68" s="543" t="s">
        <v>152</v>
      </c>
      <c r="N68" s="80" t="s">
        <v>151</v>
      </c>
      <c r="O68" s="106">
        <v>43210</v>
      </c>
      <c r="P68" s="107">
        <f t="shared" si="0"/>
        <v>127</v>
      </c>
      <c r="Q68" s="80">
        <f>O68-K68</f>
        <v>114</v>
      </c>
      <c r="R68" s="80">
        <f t="shared" si="2"/>
        <v>100</v>
      </c>
      <c r="S68" s="101" t="s">
        <v>152</v>
      </c>
      <c r="T68" s="101" t="s">
        <v>152</v>
      </c>
      <c r="U68" s="80" t="s">
        <v>237</v>
      </c>
      <c r="V68" s="88" t="s">
        <v>172</v>
      </c>
      <c r="W68" s="107">
        <v>3</v>
      </c>
      <c r="X68" s="88" t="s">
        <v>610</v>
      </c>
      <c r="Y68" s="80" t="s">
        <v>212</v>
      </c>
      <c r="Z68" s="90" t="s">
        <v>156</v>
      </c>
      <c r="AA68" s="80">
        <v>2</v>
      </c>
      <c r="AB68" s="101" t="s">
        <v>611</v>
      </c>
      <c r="AC68" s="80">
        <v>2</v>
      </c>
      <c r="AD68" s="90" t="s">
        <v>612</v>
      </c>
      <c r="AE68" s="80"/>
      <c r="AF68" s="94"/>
      <c r="AG68" s="94"/>
      <c r="AH68" s="94"/>
      <c r="AI68" s="121"/>
      <c r="AJ68" s="94"/>
      <c r="AK68" s="94"/>
      <c r="AL68" s="94"/>
      <c r="AM68" s="94"/>
      <c r="AN68" s="121"/>
      <c r="AO68" s="94"/>
      <c r="AP68" s="96"/>
      <c r="AQ68" s="95"/>
      <c r="AR68" s="95"/>
      <c r="AS68" s="95"/>
      <c r="AT68" s="96"/>
      <c r="AU68" s="95"/>
      <c r="AV68" s="95"/>
      <c r="AW68" s="95"/>
      <c r="AX68" s="95"/>
      <c r="AY68" s="96"/>
      <c r="AZ68" s="95"/>
      <c r="BA68" s="96"/>
    </row>
    <row r="69" spans="1:53" ht="159" x14ac:dyDescent="0.4">
      <c r="A69" s="80" t="s">
        <v>613</v>
      </c>
      <c r="B69" s="80" t="s">
        <v>614</v>
      </c>
      <c r="C69" s="88" t="s">
        <v>166</v>
      </c>
      <c r="D69" s="88" t="s">
        <v>560</v>
      </c>
      <c r="E69" s="108" t="s">
        <v>146</v>
      </c>
      <c r="F69" s="83" t="s">
        <v>147</v>
      </c>
      <c r="G69" s="98" t="s">
        <v>148</v>
      </c>
      <c r="H69" s="80" t="s">
        <v>615</v>
      </c>
      <c r="I69" s="80" t="s">
        <v>616</v>
      </c>
      <c r="J69" s="106">
        <v>43348</v>
      </c>
      <c r="K69" s="106">
        <v>43372</v>
      </c>
      <c r="L69" s="106">
        <v>43386</v>
      </c>
      <c r="M69" s="543" t="s">
        <v>152</v>
      </c>
      <c r="N69" s="80" t="s">
        <v>617</v>
      </c>
      <c r="O69" s="106">
        <v>43479</v>
      </c>
      <c r="P69" s="107">
        <f t="shared" si="0"/>
        <v>131</v>
      </c>
      <c r="Q69" s="80">
        <f t="shared" ref="Q69:Q70" si="5">O69-K69</f>
        <v>107</v>
      </c>
      <c r="R69" s="80">
        <f t="shared" si="2"/>
        <v>93</v>
      </c>
      <c r="S69" s="101" t="s">
        <v>152</v>
      </c>
      <c r="T69" s="101" t="s">
        <v>152</v>
      </c>
      <c r="U69" s="80" t="s">
        <v>618</v>
      </c>
      <c r="V69" s="88" t="s">
        <v>172</v>
      </c>
      <c r="W69" s="107">
        <v>2</v>
      </c>
      <c r="X69" s="88" t="s">
        <v>610</v>
      </c>
      <c r="Y69" s="80" t="s">
        <v>493</v>
      </c>
      <c r="Z69" s="90" t="s">
        <v>494</v>
      </c>
      <c r="AA69" s="80">
        <v>7</v>
      </c>
      <c r="AB69" s="90" t="s">
        <v>619</v>
      </c>
      <c r="AC69" s="80">
        <v>2</v>
      </c>
      <c r="AD69" s="90" t="s">
        <v>620</v>
      </c>
      <c r="AE69" s="80"/>
      <c r="AF69" s="122"/>
      <c r="AG69" s="122"/>
      <c r="AH69" s="122"/>
      <c r="AI69" s="123"/>
      <c r="AJ69" s="122"/>
      <c r="AK69" s="122"/>
      <c r="AL69" s="122"/>
      <c r="AM69" s="122"/>
      <c r="AN69" s="123"/>
      <c r="AO69" s="122"/>
      <c r="AP69" s="124"/>
      <c r="AQ69" s="95"/>
      <c r="AR69" s="95"/>
      <c r="AS69" s="95"/>
      <c r="AT69" s="96"/>
      <c r="AU69" s="95"/>
      <c r="AV69" s="95"/>
      <c r="AW69" s="95"/>
      <c r="AX69" s="95"/>
      <c r="AY69" s="96"/>
      <c r="AZ69" s="95"/>
      <c r="BA69" s="96"/>
    </row>
    <row r="70" spans="1:53" ht="75" x14ac:dyDescent="0.4">
      <c r="A70" s="80" t="s">
        <v>621</v>
      </c>
      <c r="B70" s="80" t="s">
        <v>622</v>
      </c>
      <c r="C70" s="88" t="s">
        <v>166</v>
      </c>
      <c r="D70" s="88" t="s">
        <v>560</v>
      </c>
      <c r="E70" s="97" t="s">
        <v>189</v>
      </c>
      <c r="F70" s="83" t="s">
        <v>2235</v>
      </c>
      <c r="G70" s="105" t="s">
        <v>623</v>
      </c>
      <c r="H70" s="80" t="s">
        <v>624</v>
      </c>
      <c r="I70" s="80" t="s">
        <v>170</v>
      </c>
      <c r="J70" s="106">
        <v>43354</v>
      </c>
      <c r="K70" s="106">
        <v>43372</v>
      </c>
      <c r="L70" s="106">
        <v>43386</v>
      </c>
      <c r="M70" s="543" t="s">
        <v>152</v>
      </c>
      <c r="N70" s="80" t="s">
        <v>617</v>
      </c>
      <c r="O70" s="106">
        <v>43479</v>
      </c>
      <c r="P70" s="107">
        <f t="shared" si="0"/>
        <v>125</v>
      </c>
      <c r="Q70" s="80">
        <f t="shared" si="5"/>
        <v>107</v>
      </c>
      <c r="R70" s="80">
        <f t="shared" si="2"/>
        <v>93</v>
      </c>
      <c r="S70" s="101" t="s">
        <v>152</v>
      </c>
      <c r="T70" s="101" t="s">
        <v>152</v>
      </c>
      <c r="U70" s="80" t="s">
        <v>625</v>
      </c>
      <c r="V70" s="88" t="s">
        <v>172</v>
      </c>
      <c r="W70" s="107">
        <v>2</v>
      </c>
      <c r="X70" s="88" t="s">
        <v>610</v>
      </c>
      <c r="Y70" s="80" t="s">
        <v>493</v>
      </c>
      <c r="Z70" s="90" t="s">
        <v>494</v>
      </c>
      <c r="AA70" s="80">
        <v>5</v>
      </c>
      <c r="AB70" s="90" t="s">
        <v>626</v>
      </c>
      <c r="AC70" s="80">
        <v>3</v>
      </c>
      <c r="AD70" s="90" t="s">
        <v>627</v>
      </c>
      <c r="AE70" s="80"/>
      <c r="AF70" s="122"/>
      <c r="AG70" s="122"/>
      <c r="AH70" s="122"/>
      <c r="AI70" s="123"/>
      <c r="AJ70" s="122"/>
      <c r="AK70" s="122"/>
      <c r="AL70" s="122"/>
      <c r="AM70" s="122"/>
      <c r="AN70" s="123"/>
      <c r="AO70" s="122"/>
      <c r="AP70" s="124"/>
      <c r="AQ70" s="95"/>
      <c r="AR70" s="95"/>
      <c r="AS70" s="95"/>
      <c r="AT70" s="96"/>
      <c r="AU70" s="95"/>
      <c r="AV70" s="95"/>
      <c r="AW70" s="95"/>
      <c r="AX70" s="95"/>
      <c r="AY70" s="96"/>
      <c r="AZ70" s="95"/>
      <c r="BA70" s="96"/>
    </row>
    <row r="71" spans="1:53" ht="150" x14ac:dyDescent="0.4">
      <c r="A71" s="88" t="s">
        <v>628</v>
      </c>
      <c r="B71" s="88" t="s">
        <v>629</v>
      </c>
      <c r="C71" s="81" t="s">
        <v>2238</v>
      </c>
      <c r="D71" s="125" t="s">
        <v>630</v>
      </c>
      <c r="E71" s="97" t="s">
        <v>631</v>
      </c>
      <c r="F71" s="83" t="s">
        <v>632</v>
      </c>
      <c r="G71" s="98" t="s">
        <v>633</v>
      </c>
      <c r="H71" s="88" t="s">
        <v>634</v>
      </c>
      <c r="I71" s="88" t="s">
        <v>635</v>
      </c>
      <c r="J71" s="99">
        <v>41955</v>
      </c>
      <c r="K71" s="99">
        <v>41962</v>
      </c>
      <c r="L71" s="99">
        <v>41976</v>
      </c>
      <c r="M71" s="541" t="s">
        <v>152</v>
      </c>
      <c r="N71" s="88" t="s">
        <v>151</v>
      </c>
      <c r="O71" s="99">
        <v>42018</v>
      </c>
      <c r="P71" s="100">
        <f t="shared" si="0"/>
        <v>63</v>
      </c>
      <c r="Q71" s="80">
        <f t="shared" si="1"/>
        <v>56</v>
      </c>
      <c r="R71" s="80">
        <f t="shared" si="2"/>
        <v>42</v>
      </c>
      <c r="S71" s="101" t="s">
        <v>152</v>
      </c>
      <c r="T71" s="101" t="s">
        <v>152</v>
      </c>
      <c r="U71" s="80" t="s">
        <v>636</v>
      </c>
      <c r="V71" s="88" t="s">
        <v>172</v>
      </c>
      <c r="W71" s="100">
        <v>6</v>
      </c>
      <c r="X71" s="88" t="s">
        <v>154</v>
      </c>
      <c r="Y71" s="80" t="s">
        <v>212</v>
      </c>
      <c r="Z71" s="80" t="s">
        <v>156</v>
      </c>
      <c r="AA71" s="88">
        <v>5</v>
      </c>
      <c r="AB71" s="101" t="s">
        <v>2239</v>
      </c>
      <c r="AC71" s="88">
        <v>2</v>
      </c>
      <c r="AD71" s="101" t="s">
        <v>637</v>
      </c>
      <c r="AE71" s="88" t="s">
        <v>638</v>
      </c>
      <c r="AF71" s="104" t="s">
        <v>639</v>
      </c>
      <c r="AG71" s="104" t="s">
        <v>629</v>
      </c>
      <c r="AH71" s="95" t="s">
        <v>635</v>
      </c>
      <c r="AI71" s="109">
        <v>42577</v>
      </c>
      <c r="AJ71" s="104" t="s">
        <v>160</v>
      </c>
      <c r="AK71" s="104" t="s">
        <v>640</v>
      </c>
      <c r="AL71" s="104" t="s">
        <v>641</v>
      </c>
      <c r="AM71" s="104" t="s">
        <v>642</v>
      </c>
      <c r="AN71" s="109" t="s">
        <v>643</v>
      </c>
      <c r="AO71" s="104" t="s">
        <v>152</v>
      </c>
      <c r="AP71" s="96">
        <v>42663</v>
      </c>
      <c r="AQ71" s="95"/>
      <c r="AR71" s="95"/>
      <c r="AS71" s="95"/>
      <c r="AT71" s="96"/>
      <c r="AU71" s="95"/>
      <c r="AV71" s="95"/>
      <c r="AW71" s="95"/>
      <c r="AX71" s="95"/>
      <c r="AY71" s="96"/>
      <c r="AZ71" s="95"/>
      <c r="BA71" s="96"/>
    </row>
    <row r="72" spans="1:53" ht="120" x14ac:dyDescent="0.4">
      <c r="A72" s="80" t="s">
        <v>644</v>
      </c>
      <c r="B72" s="88" t="s">
        <v>645</v>
      </c>
      <c r="C72" s="88" t="s">
        <v>315</v>
      </c>
      <c r="D72" s="125" t="s">
        <v>630</v>
      </c>
      <c r="E72" s="108" t="s">
        <v>146</v>
      </c>
      <c r="F72" s="83" t="s">
        <v>147</v>
      </c>
      <c r="G72" s="105" t="s">
        <v>270</v>
      </c>
      <c r="H72" s="80" t="s">
        <v>646</v>
      </c>
      <c r="I72" s="80" t="s">
        <v>647</v>
      </c>
      <c r="J72" s="106">
        <v>41970</v>
      </c>
      <c r="K72" s="106">
        <v>41978</v>
      </c>
      <c r="L72" s="106">
        <v>41992</v>
      </c>
      <c r="M72" s="542" t="s">
        <v>152</v>
      </c>
      <c r="N72" s="80" t="s">
        <v>151</v>
      </c>
      <c r="O72" s="126">
        <v>42018</v>
      </c>
      <c r="P72" s="107">
        <f t="shared" si="0"/>
        <v>48</v>
      </c>
      <c r="Q72" s="80">
        <f t="shared" si="1"/>
        <v>40</v>
      </c>
      <c r="R72" s="80">
        <f t="shared" si="2"/>
        <v>26</v>
      </c>
      <c r="S72" s="101" t="s">
        <v>152</v>
      </c>
      <c r="T72" s="101" t="s">
        <v>152</v>
      </c>
      <c r="U72" s="88" t="s">
        <v>273</v>
      </c>
      <c r="V72" s="80" t="s">
        <v>153</v>
      </c>
      <c r="W72" s="107">
        <v>4</v>
      </c>
      <c r="X72" s="80" t="s">
        <v>154</v>
      </c>
      <c r="Y72" s="90" t="s">
        <v>2240</v>
      </c>
      <c r="Z72" s="90" t="s">
        <v>648</v>
      </c>
      <c r="AA72" s="80">
        <v>2</v>
      </c>
      <c r="AB72" s="90" t="s">
        <v>649</v>
      </c>
      <c r="AC72" s="80">
        <v>3</v>
      </c>
      <c r="AD72" s="90" t="s">
        <v>650</v>
      </c>
      <c r="AE72" s="90" t="s">
        <v>651</v>
      </c>
      <c r="AF72" s="94" t="s">
        <v>652</v>
      </c>
      <c r="AG72" s="94" t="s">
        <v>653</v>
      </c>
      <c r="AH72" s="92" t="s">
        <v>654</v>
      </c>
      <c r="AI72" s="93" t="s">
        <v>655</v>
      </c>
      <c r="AJ72" s="92" t="s">
        <v>160</v>
      </c>
      <c r="AK72" s="92" t="s">
        <v>656</v>
      </c>
      <c r="AL72" s="94" t="s">
        <v>657</v>
      </c>
      <c r="AM72" s="94" t="s">
        <v>658</v>
      </c>
      <c r="AN72" s="93" t="s">
        <v>655</v>
      </c>
      <c r="AO72" s="104" t="s">
        <v>152</v>
      </c>
      <c r="AP72" s="93">
        <v>43018</v>
      </c>
      <c r="AQ72" s="95"/>
      <c r="AR72" s="95"/>
      <c r="AS72" s="95"/>
      <c r="AT72" s="96"/>
      <c r="AU72" s="95"/>
      <c r="AV72" s="95"/>
      <c r="AW72" s="95"/>
      <c r="AX72" s="95"/>
      <c r="AY72" s="96"/>
      <c r="AZ72" s="95"/>
      <c r="BA72" s="96"/>
    </row>
    <row r="73" spans="1:53" ht="268.5" x14ac:dyDescent="0.4">
      <c r="A73" s="80" t="s">
        <v>659</v>
      </c>
      <c r="B73" s="88" t="s">
        <v>660</v>
      </c>
      <c r="C73" s="88" t="s">
        <v>315</v>
      </c>
      <c r="D73" s="125" t="s">
        <v>630</v>
      </c>
      <c r="E73" s="108" t="s">
        <v>146</v>
      </c>
      <c r="F73" s="83" t="s">
        <v>147</v>
      </c>
      <c r="G73" s="105" t="s">
        <v>270</v>
      </c>
      <c r="H73" s="80" t="s">
        <v>662</v>
      </c>
      <c r="I73" s="80" t="s">
        <v>663</v>
      </c>
      <c r="J73" s="106">
        <v>41970</v>
      </c>
      <c r="K73" s="106">
        <v>41978</v>
      </c>
      <c r="L73" s="106">
        <v>41992</v>
      </c>
      <c r="M73" s="542" t="s">
        <v>152</v>
      </c>
      <c r="N73" s="80" t="s">
        <v>151</v>
      </c>
      <c r="O73" s="106">
        <v>42018</v>
      </c>
      <c r="P73" s="107">
        <f t="shared" si="0"/>
        <v>48</v>
      </c>
      <c r="Q73" s="80">
        <f t="shared" si="1"/>
        <v>40</v>
      </c>
      <c r="R73" s="80">
        <f t="shared" si="2"/>
        <v>26</v>
      </c>
      <c r="S73" s="101" t="s">
        <v>152</v>
      </c>
      <c r="T73" s="101" t="s">
        <v>152</v>
      </c>
      <c r="U73" s="80" t="s">
        <v>398</v>
      </c>
      <c r="V73" s="80" t="s">
        <v>337</v>
      </c>
      <c r="W73" s="107">
        <v>3</v>
      </c>
      <c r="X73" s="80" t="s">
        <v>154</v>
      </c>
      <c r="Y73" s="90" t="s">
        <v>367</v>
      </c>
      <c r="Z73" s="90" t="s">
        <v>664</v>
      </c>
      <c r="AA73" s="80">
        <v>12</v>
      </c>
      <c r="AB73" s="90" t="s">
        <v>665</v>
      </c>
      <c r="AC73" s="80">
        <v>4</v>
      </c>
      <c r="AD73" s="90" t="s">
        <v>666</v>
      </c>
      <c r="AE73" s="90" t="s">
        <v>667</v>
      </c>
      <c r="AF73" s="92" t="s">
        <v>668</v>
      </c>
      <c r="AG73" s="92" t="s">
        <v>669</v>
      </c>
      <c r="AH73" s="92" t="s">
        <v>654</v>
      </c>
      <c r="AI73" s="93" t="s">
        <v>655</v>
      </c>
      <c r="AJ73" s="92" t="s">
        <v>160</v>
      </c>
      <c r="AK73" s="92" t="s">
        <v>656</v>
      </c>
      <c r="AL73" s="94" t="s">
        <v>657</v>
      </c>
      <c r="AM73" s="94" t="s">
        <v>658</v>
      </c>
      <c r="AN73" s="93"/>
      <c r="AO73" s="92"/>
      <c r="AP73" s="93"/>
      <c r="AQ73" s="95"/>
      <c r="AR73" s="95"/>
      <c r="AS73" s="95"/>
      <c r="AT73" s="96"/>
      <c r="AU73" s="95"/>
      <c r="AV73" s="95"/>
      <c r="AW73" s="95"/>
      <c r="AX73" s="95"/>
      <c r="AY73" s="96"/>
      <c r="AZ73" s="95"/>
      <c r="BA73" s="96"/>
    </row>
    <row r="74" spans="1:53" ht="150" x14ac:dyDescent="0.4">
      <c r="A74" s="80" t="s">
        <v>670</v>
      </c>
      <c r="B74" s="88" t="s">
        <v>671</v>
      </c>
      <c r="C74" s="88" t="s">
        <v>661</v>
      </c>
      <c r="D74" s="125" t="s">
        <v>630</v>
      </c>
      <c r="E74" s="108" t="s">
        <v>672</v>
      </c>
      <c r="F74" s="83" t="s">
        <v>673</v>
      </c>
      <c r="G74" s="105" t="s">
        <v>633</v>
      </c>
      <c r="H74" s="80" t="s">
        <v>674</v>
      </c>
      <c r="I74" s="80" t="s">
        <v>675</v>
      </c>
      <c r="J74" s="106">
        <v>42139</v>
      </c>
      <c r="K74" s="106">
        <v>42201</v>
      </c>
      <c r="L74" s="106">
        <v>42215</v>
      </c>
      <c r="M74" s="542" t="s">
        <v>152</v>
      </c>
      <c r="N74" s="80" t="s">
        <v>151</v>
      </c>
      <c r="O74" s="106">
        <v>42220</v>
      </c>
      <c r="P74" s="107">
        <f t="shared" si="0"/>
        <v>81</v>
      </c>
      <c r="Q74" s="80">
        <f t="shared" si="1"/>
        <v>19</v>
      </c>
      <c r="R74" s="80">
        <f t="shared" si="2"/>
        <v>5</v>
      </c>
      <c r="S74" s="101" t="s">
        <v>152</v>
      </c>
      <c r="T74" s="101" t="s">
        <v>152</v>
      </c>
      <c r="U74" s="88" t="s">
        <v>676</v>
      </c>
      <c r="V74" s="80" t="s">
        <v>172</v>
      </c>
      <c r="W74" s="107">
        <v>5</v>
      </c>
      <c r="X74" s="80" t="s">
        <v>677</v>
      </c>
      <c r="Y74" s="90" t="s">
        <v>678</v>
      </c>
      <c r="Z74" s="90" t="s">
        <v>679</v>
      </c>
      <c r="AA74" s="80">
        <v>4</v>
      </c>
      <c r="AB74" s="90" t="s">
        <v>680</v>
      </c>
      <c r="AC74" s="80">
        <v>3</v>
      </c>
      <c r="AD74" s="90" t="s">
        <v>681</v>
      </c>
      <c r="AE74" s="90"/>
      <c r="AF74" s="92" t="s">
        <v>682</v>
      </c>
      <c r="AG74" s="92" t="s">
        <v>683</v>
      </c>
      <c r="AH74" s="92" t="s">
        <v>654</v>
      </c>
      <c r="AI74" s="93" t="s">
        <v>655</v>
      </c>
      <c r="AJ74" s="92" t="s">
        <v>160</v>
      </c>
      <c r="AK74" s="93" t="s">
        <v>684</v>
      </c>
      <c r="AL74" s="94" t="s">
        <v>685</v>
      </c>
      <c r="AM74" s="94" t="s">
        <v>686</v>
      </c>
      <c r="AN74" s="93" t="s">
        <v>655</v>
      </c>
      <c r="AO74" s="104" t="s">
        <v>152</v>
      </c>
      <c r="AP74" s="93">
        <v>43018</v>
      </c>
      <c r="AQ74" s="95"/>
      <c r="AR74" s="95"/>
      <c r="AS74" s="95"/>
      <c r="AT74" s="96"/>
      <c r="AU74" s="95"/>
      <c r="AV74" s="95"/>
      <c r="AW74" s="95"/>
      <c r="AX74" s="95"/>
      <c r="AY74" s="96"/>
      <c r="AZ74" s="95"/>
      <c r="BA74" s="96"/>
    </row>
    <row r="75" spans="1:53" ht="124.5" x14ac:dyDescent="0.4">
      <c r="A75" s="88" t="s">
        <v>687</v>
      </c>
      <c r="B75" s="88" t="s">
        <v>471</v>
      </c>
      <c r="C75" s="88" t="s">
        <v>353</v>
      </c>
      <c r="D75" s="125" t="s">
        <v>630</v>
      </c>
      <c r="E75" s="97" t="s">
        <v>2135</v>
      </c>
      <c r="F75" s="83" t="s">
        <v>147</v>
      </c>
      <c r="G75" s="98" t="s">
        <v>2131</v>
      </c>
      <c r="H75" s="88" t="s">
        <v>688</v>
      </c>
      <c r="I75" s="88" t="s">
        <v>689</v>
      </c>
      <c r="J75" s="99">
        <v>42199</v>
      </c>
      <c r="K75" s="99">
        <v>42201</v>
      </c>
      <c r="L75" s="99">
        <v>42215</v>
      </c>
      <c r="M75" s="541" t="s">
        <v>152</v>
      </c>
      <c r="N75" s="88" t="s">
        <v>171</v>
      </c>
      <c r="O75" s="99">
        <v>42250</v>
      </c>
      <c r="P75" s="100">
        <f t="shared" ref="P75:P85" si="6">O75-J75</f>
        <v>51</v>
      </c>
      <c r="Q75" s="80">
        <f t="shared" ref="Q75:Q84" si="7">O75-K75</f>
        <v>49</v>
      </c>
      <c r="R75" s="80">
        <f t="shared" ref="R75:R84" si="8">O75-L75</f>
        <v>35</v>
      </c>
      <c r="S75" s="101" t="s">
        <v>152</v>
      </c>
      <c r="T75" s="101" t="s">
        <v>152</v>
      </c>
      <c r="U75" s="88" t="s">
        <v>2241</v>
      </c>
      <c r="V75" s="88" t="s">
        <v>172</v>
      </c>
      <c r="W75" s="100">
        <v>2</v>
      </c>
      <c r="X75" s="88" t="s">
        <v>154</v>
      </c>
      <c r="Y75" s="80" t="s">
        <v>212</v>
      </c>
      <c r="Z75" s="90" t="s">
        <v>299</v>
      </c>
      <c r="AA75" s="88">
        <v>5</v>
      </c>
      <c r="AB75" s="101" t="s">
        <v>690</v>
      </c>
      <c r="AC75" s="88">
        <v>1</v>
      </c>
      <c r="AD75" s="88" t="s">
        <v>691</v>
      </c>
      <c r="AE75" s="101" t="s">
        <v>692</v>
      </c>
      <c r="AF75" s="95"/>
      <c r="AG75" s="95"/>
      <c r="AH75" s="95"/>
      <c r="AI75" s="96"/>
      <c r="AJ75" s="95"/>
      <c r="AK75" s="95"/>
      <c r="AL75" s="104"/>
      <c r="AM75" s="104"/>
      <c r="AN75" s="96"/>
      <c r="AO75" s="95"/>
      <c r="AP75" s="96"/>
      <c r="AQ75" s="95"/>
      <c r="AR75" s="95"/>
      <c r="AS75" s="95"/>
      <c r="AT75" s="96"/>
      <c r="AU75" s="95"/>
      <c r="AV75" s="95"/>
      <c r="AW75" s="95"/>
      <c r="AX75" s="95"/>
      <c r="AY75" s="96"/>
      <c r="AZ75" s="95"/>
      <c r="BA75" s="96"/>
    </row>
    <row r="76" spans="1:53" ht="120" x14ac:dyDescent="0.4">
      <c r="A76" s="80" t="s">
        <v>693</v>
      </c>
      <c r="B76" s="88" t="s">
        <v>694</v>
      </c>
      <c r="C76" s="88" t="s">
        <v>315</v>
      </c>
      <c r="D76" s="125" t="s">
        <v>630</v>
      </c>
      <c r="E76" s="108" t="s">
        <v>146</v>
      </c>
      <c r="F76" s="83" t="s">
        <v>147</v>
      </c>
      <c r="G76" s="127" t="s">
        <v>695</v>
      </c>
      <c r="H76" s="80" t="s">
        <v>696</v>
      </c>
      <c r="I76" s="80" t="s">
        <v>210</v>
      </c>
      <c r="J76" s="106">
        <v>42594</v>
      </c>
      <c r="K76" s="106">
        <v>42599</v>
      </c>
      <c r="L76" s="106">
        <v>42613</v>
      </c>
      <c r="M76" s="543" t="s">
        <v>152</v>
      </c>
      <c r="N76" s="80" t="s">
        <v>151</v>
      </c>
      <c r="O76" s="106">
        <v>42663</v>
      </c>
      <c r="P76" s="107">
        <f t="shared" si="6"/>
        <v>69</v>
      </c>
      <c r="Q76" s="80">
        <f t="shared" si="7"/>
        <v>64</v>
      </c>
      <c r="R76" s="80">
        <f t="shared" si="8"/>
        <v>50</v>
      </c>
      <c r="S76" s="101" t="s">
        <v>152</v>
      </c>
      <c r="T76" s="101" t="s">
        <v>152</v>
      </c>
      <c r="U76" s="80" t="s">
        <v>273</v>
      </c>
      <c r="V76" s="80" t="s">
        <v>153</v>
      </c>
      <c r="W76" s="107">
        <v>5</v>
      </c>
      <c r="X76" s="80" t="s">
        <v>154</v>
      </c>
      <c r="Y76" s="80" t="s">
        <v>155</v>
      </c>
      <c r="Z76" s="90" t="s">
        <v>156</v>
      </c>
      <c r="AA76" s="115">
        <v>3</v>
      </c>
      <c r="AB76" s="90" t="s">
        <v>697</v>
      </c>
      <c r="AC76" s="80">
        <v>2</v>
      </c>
      <c r="AD76" s="90" t="s">
        <v>698</v>
      </c>
      <c r="AE76" s="80" t="s">
        <v>699</v>
      </c>
      <c r="AF76" s="92" t="s">
        <v>700</v>
      </c>
      <c r="AG76" s="92" t="s">
        <v>701</v>
      </c>
      <c r="AH76" s="92" t="s">
        <v>654</v>
      </c>
      <c r="AI76" s="93" t="s">
        <v>655</v>
      </c>
      <c r="AJ76" s="92" t="s">
        <v>160</v>
      </c>
      <c r="AK76" s="92" t="s">
        <v>656</v>
      </c>
      <c r="AL76" s="94" t="s">
        <v>702</v>
      </c>
      <c r="AM76" s="94" t="s">
        <v>658</v>
      </c>
      <c r="AN76" s="93" t="s">
        <v>655</v>
      </c>
      <c r="AO76" s="104" t="s">
        <v>152</v>
      </c>
      <c r="AP76" s="93">
        <v>43018</v>
      </c>
      <c r="AQ76" s="95"/>
      <c r="AR76" s="95"/>
      <c r="AS76" s="95"/>
      <c r="AT76" s="96"/>
      <c r="AU76" s="95"/>
      <c r="AV76" s="95"/>
      <c r="AW76" s="95"/>
      <c r="AX76" s="95"/>
      <c r="AY76" s="96"/>
      <c r="AZ76" s="95"/>
      <c r="BA76" s="96"/>
    </row>
    <row r="77" spans="1:53" ht="139.5" x14ac:dyDescent="0.4">
      <c r="A77" s="88" t="s">
        <v>703</v>
      </c>
      <c r="B77" s="88" t="s">
        <v>165</v>
      </c>
      <c r="C77" s="88" t="s">
        <v>353</v>
      </c>
      <c r="D77" s="125" t="s">
        <v>630</v>
      </c>
      <c r="E77" s="97" t="s">
        <v>189</v>
      </c>
      <c r="F77" s="83" t="s">
        <v>167</v>
      </c>
      <c r="G77" s="98" t="s">
        <v>168</v>
      </c>
      <c r="H77" s="88" t="s">
        <v>704</v>
      </c>
      <c r="I77" s="88" t="s">
        <v>170</v>
      </c>
      <c r="J77" s="99">
        <v>42641</v>
      </c>
      <c r="K77" s="99">
        <v>42647</v>
      </c>
      <c r="L77" s="99">
        <v>42661</v>
      </c>
      <c r="M77" s="545" t="s">
        <v>152</v>
      </c>
      <c r="N77" s="88" t="s">
        <v>151</v>
      </c>
      <c r="O77" s="99">
        <v>43018</v>
      </c>
      <c r="P77" s="100">
        <f t="shared" si="6"/>
        <v>377</v>
      </c>
      <c r="Q77" s="80">
        <f t="shared" si="7"/>
        <v>371</v>
      </c>
      <c r="R77" s="80">
        <f t="shared" si="8"/>
        <v>357</v>
      </c>
      <c r="S77" s="101" t="s">
        <v>152</v>
      </c>
      <c r="T77" s="101" t="s">
        <v>152</v>
      </c>
      <c r="U77" s="80" t="s">
        <v>185</v>
      </c>
      <c r="V77" s="88" t="s">
        <v>172</v>
      </c>
      <c r="W77" s="100">
        <v>3</v>
      </c>
      <c r="X77" s="88" t="s">
        <v>154</v>
      </c>
      <c r="Y77" s="80" t="s">
        <v>155</v>
      </c>
      <c r="Z77" s="128" t="s">
        <v>156</v>
      </c>
      <c r="AA77" s="129">
        <v>1</v>
      </c>
      <c r="AB77" s="130" t="s">
        <v>705</v>
      </c>
      <c r="AC77" s="88">
        <v>1</v>
      </c>
      <c r="AD77" s="88" t="s">
        <v>706</v>
      </c>
      <c r="AE77" s="101" t="s">
        <v>707</v>
      </c>
      <c r="AF77" s="95"/>
      <c r="AG77" s="95"/>
      <c r="AH77" s="95"/>
      <c r="AI77" s="96"/>
      <c r="AJ77" s="95"/>
      <c r="AK77" s="95"/>
      <c r="AL77" s="104"/>
      <c r="AM77" s="104"/>
      <c r="AN77" s="96"/>
      <c r="AO77" s="95"/>
      <c r="AP77" s="96"/>
      <c r="AQ77" s="95"/>
      <c r="AR77" s="95"/>
      <c r="AS77" s="95"/>
      <c r="AT77" s="96"/>
      <c r="AU77" s="95"/>
      <c r="AV77" s="95"/>
      <c r="AW77" s="95"/>
      <c r="AX77" s="95"/>
      <c r="AY77" s="96"/>
      <c r="AZ77" s="95"/>
      <c r="BA77" s="96"/>
    </row>
    <row r="78" spans="1:53" ht="90" x14ac:dyDescent="0.4">
      <c r="A78" s="88" t="s">
        <v>708</v>
      </c>
      <c r="B78" s="88" t="s">
        <v>709</v>
      </c>
      <c r="C78" s="88" t="s">
        <v>353</v>
      </c>
      <c r="D78" s="125" t="s">
        <v>630</v>
      </c>
      <c r="E78" s="97" t="s">
        <v>146</v>
      </c>
      <c r="F78" s="83" t="s">
        <v>147</v>
      </c>
      <c r="G78" s="98" t="s">
        <v>270</v>
      </c>
      <c r="H78" s="88" t="s">
        <v>710</v>
      </c>
      <c r="I78" s="88" t="s">
        <v>711</v>
      </c>
      <c r="J78" s="99">
        <v>42874</v>
      </c>
      <c r="K78" s="99">
        <v>42888</v>
      </c>
      <c r="L78" s="99">
        <v>42902</v>
      </c>
      <c r="M78" s="545" t="s">
        <v>152</v>
      </c>
      <c r="N78" s="88" t="s">
        <v>151</v>
      </c>
      <c r="O78" s="99">
        <v>43018</v>
      </c>
      <c r="P78" s="100">
        <f t="shared" si="6"/>
        <v>144</v>
      </c>
      <c r="Q78" s="80">
        <f t="shared" si="7"/>
        <v>130</v>
      </c>
      <c r="R78" s="80">
        <f t="shared" si="8"/>
        <v>116</v>
      </c>
      <c r="S78" s="101" t="s">
        <v>152</v>
      </c>
      <c r="T78" s="101" t="s">
        <v>152</v>
      </c>
      <c r="U78" s="80" t="s">
        <v>285</v>
      </c>
      <c r="V78" s="88" t="s">
        <v>153</v>
      </c>
      <c r="W78" s="100">
        <v>3</v>
      </c>
      <c r="X78" s="88" t="s">
        <v>154</v>
      </c>
      <c r="Y78" s="80" t="s">
        <v>155</v>
      </c>
      <c r="Z78" s="128" t="s">
        <v>156</v>
      </c>
      <c r="AA78" s="129">
        <v>4</v>
      </c>
      <c r="AB78" s="130" t="s">
        <v>712</v>
      </c>
      <c r="AC78" s="88">
        <v>1</v>
      </c>
      <c r="AD78" s="88" t="s">
        <v>713</v>
      </c>
      <c r="AE78" s="101" t="s">
        <v>714</v>
      </c>
      <c r="AF78" s="95"/>
      <c r="AG78" s="95"/>
      <c r="AH78" s="95"/>
      <c r="AI78" s="96"/>
      <c r="AJ78" s="95"/>
      <c r="AK78" s="95"/>
      <c r="AL78" s="104"/>
      <c r="AM78" s="104"/>
      <c r="AN78" s="96"/>
      <c r="AO78" s="95"/>
      <c r="AP78" s="96"/>
      <c r="AQ78" s="95"/>
      <c r="AR78" s="95"/>
      <c r="AS78" s="95"/>
      <c r="AT78" s="96"/>
      <c r="AU78" s="95"/>
      <c r="AV78" s="95"/>
      <c r="AW78" s="95"/>
      <c r="AX78" s="95"/>
      <c r="AY78" s="96"/>
      <c r="AZ78" s="95"/>
      <c r="BA78" s="96"/>
    </row>
    <row r="79" spans="1:53" ht="120" x14ac:dyDescent="0.4">
      <c r="A79" s="80" t="s">
        <v>715</v>
      </c>
      <c r="B79" s="80" t="s">
        <v>716</v>
      </c>
      <c r="C79" s="88" t="s">
        <v>2242</v>
      </c>
      <c r="D79" s="125" t="s">
        <v>630</v>
      </c>
      <c r="E79" s="108" t="s">
        <v>146</v>
      </c>
      <c r="F79" s="83" t="s">
        <v>147</v>
      </c>
      <c r="G79" s="105" t="s">
        <v>148</v>
      </c>
      <c r="H79" s="80" t="s">
        <v>634</v>
      </c>
      <c r="I79" s="80" t="s">
        <v>717</v>
      </c>
      <c r="J79" s="106">
        <v>42678</v>
      </c>
      <c r="K79" s="106">
        <v>42899</v>
      </c>
      <c r="L79" s="106">
        <v>42913</v>
      </c>
      <c r="M79" s="543" t="s">
        <v>152</v>
      </c>
      <c r="N79" s="80" t="s">
        <v>151</v>
      </c>
      <c r="O79" s="106">
        <v>43018</v>
      </c>
      <c r="P79" s="107">
        <f t="shared" si="6"/>
        <v>340</v>
      </c>
      <c r="Q79" s="80">
        <f t="shared" si="7"/>
        <v>119</v>
      </c>
      <c r="R79" s="80">
        <f t="shared" si="8"/>
        <v>105</v>
      </c>
      <c r="S79" s="101" t="s">
        <v>152</v>
      </c>
      <c r="T79" s="101" t="s">
        <v>152</v>
      </c>
      <c r="U79" s="80" t="s">
        <v>2243</v>
      </c>
      <c r="V79" s="80" t="s">
        <v>153</v>
      </c>
      <c r="W79" s="107">
        <v>1</v>
      </c>
      <c r="X79" s="80" t="s">
        <v>154</v>
      </c>
      <c r="Y79" s="80" t="s">
        <v>212</v>
      </c>
      <c r="Z79" s="128" t="s">
        <v>299</v>
      </c>
      <c r="AA79" s="131">
        <v>2</v>
      </c>
      <c r="AB79" s="127" t="s">
        <v>718</v>
      </c>
      <c r="AC79" s="80">
        <v>3</v>
      </c>
      <c r="AD79" s="90" t="s">
        <v>719</v>
      </c>
      <c r="AE79" s="90"/>
      <c r="AF79" s="92" t="s">
        <v>720</v>
      </c>
      <c r="AG79" s="92"/>
      <c r="AH79" s="92" t="s">
        <v>654</v>
      </c>
      <c r="AI79" s="93"/>
      <c r="AJ79" s="92" t="s">
        <v>160</v>
      </c>
      <c r="AK79" s="92" t="s">
        <v>721</v>
      </c>
      <c r="AL79" s="94" t="s">
        <v>722</v>
      </c>
      <c r="AM79" s="94" t="s">
        <v>2244</v>
      </c>
      <c r="AN79" s="93"/>
      <c r="AO79" s="94" t="s">
        <v>152</v>
      </c>
      <c r="AP79" s="93" t="s">
        <v>723</v>
      </c>
      <c r="AQ79" s="95"/>
      <c r="AR79" s="95"/>
      <c r="AS79" s="95"/>
      <c r="AT79" s="96"/>
      <c r="AU79" s="95"/>
      <c r="AV79" s="95"/>
      <c r="AW79" s="95"/>
      <c r="AX79" s="95"/>
      <c r="AY79" s="96"/>
      <c r="AZ79" s="95"/>
      <c r="BA79" s="96"/>
    </row>
    <row r="80" spans="1:53" ht="60" x14ac:dyDescent="0.4">
      <c r="A80" s="80" t="s">
        <v>724</v>
      </c>
      <c r="B80" s="80" t="s">
        <v>725</v>
      </c>
      <c r="C80" s="88" t="s">
        <v>2245</v>
      </c>
      <c r="D80" s="125" t="s">
        <v>630</v>
      </c>
      <c r="E80" s="108" t="s">
        <v>146</v>
      </c>
      <c r="F80" s="83" t="s">
        <v>2246</v>
      </c>
      <c r="G80" s="105" t="s">
        <v>148</v>
      </c>
      <c r="H80" s="80" t="s">
        <v>726</v>
      </c>
      <c r="I80" s="80" t="s">
        <v>194</v>
      </c>
      <c r="J80" s="106">
        <v>43319</v>
      </c>
      <c r="K80" s="106">
        <v>43326</v>
      </c>
      <c r="L80" s="106">
        <v>43340</v>
      </c>
      <c r="M80" s="543" t="s">
        <v>152</v>
      </c>
      <c r="N80" s="80" t="s">
        <v>151</v>
      </c>
      <c r="O80" s="106">
        <v>43341</v>
      </c>
      <c r="P80" s="107">
        <f t="shared" si="6"/>
        <v>22</v>
      </c>
      <c r="Q80" s="80">
        <f t="shared" si="7"/>
        <v>15</v>
      </c>
      <c r="R80" s="80">
        <f t="shared" si="8"/>
        <v>1</v>
      </c>
      <c r="S80" s="101" t="s">
        <v>152</v>
      </c>
      <c r="T80" s="101" t="s">
        <v>152</v>
      </c>
      <c r="U80" s="80" t="s">
        <v>727</v>
      </c>
      <c r="V80" s="80" t="s">
        <v>172</v>
      </c>
      <c r="W80" s="107">
        <v>2</v>
      </c>
      <c r="X80" s="80" t="s">
        <v>154</v>
      </c>
      <c r="Y80" s="80" t="s">
        <v>212</v>
      </c>
      <c r="Z80" s="128" t="s">
        <v>728</v>
      </c>
      <c r="AA80" s="131">
        <v>4</v>
      </c>
      <c r="AB80" s="127" t="s">
        <v>729</v>
      </c>
      <c r="AC80" s="80">
        <v>2</v>
      </c>
      <c r="AD80" s="90" t="s">
        <v>730</v>
      </c>
      <c r="AE80" s="90"/>
      <c r="AF80" s="92"/>
      <c r="AG80" s="92"/>
      <c r="AH80" s="92"/>
      <c r="AI80" s="93"/>
      <c r="AJ80" s="92"/>
      <c r="AK80" s="92"/>
      <c r="AL80" s="94"/>
      <c r="AM80" s="94"/>
      <c r="AN80" s="93"/>
      <c r="AO80" s="92"/>
      <c r="AP80" s="93"/>
      <c r="AQ80" s="95"/>
      <c r="AR80" s="95"/>
      <c r="AS80" s="95"/>
      <c r="AT80" s="96"/>
      <c r="AU80" s="95"/>
      <c r="AV80" s="95"/>
      <c r="AW80" s="95"/>
      <c r="AX80" s="95"/>
      <c r="AY80" s="96"/>
      <c r="AZ80" s="95"/>
      <c r="BA80" s="96"/>
    </row>
    <row r="81" spans="1:53" ht="150" x14ac:dyDescent="0.4">
      <c r="A81" s="80" t="s">
        <v>731</v>
      </c>
      <c r="B81" s="80" t="s">
        <v>580</v>
      </c>
      <c r="C81" s="88" t="s">
        <v>353</v>
      </c>
      <c r="D81" s="125" t="s">
        <v>630</v>
      </c>
      <c r="E81" s="108" t="s">
        <v>146</v>
      </c>
      <c r="F81" s="83" t="s">
        <v>147</v>
      </c>
      <c r="G81" s="105" t="s">
        <v>148</v>
      </c>
      <c r="H81" s="80" t="s">
        <v>732</v>
      </c>
      <c r="I81" s="80" t="s">
        <v>733</v>
      </c>
      <c r="J81" s="106">
        <v>43319</v>
      </c>
      <c r="K81" s="106">
        <v>43326</v>
      </c>
      <c r="L81" s="106">
        <v>43340</v>
      </c>
      <c r="M81" s="543" t="s">
        <v>152</v>
      </c>
      <c r="N81" s="80" t="s">
        <v>151</v>
      </c>
      <c r="O81" s="106">
        <v>43341</v>
      </c>
      <c r="P81" s="107">
        <f t="shared" si="6"/>
        <v>22</v>
      </c>
      <c r="Q81" s="80">
        <f t="shared" si="7"/>
        <v>15</v>
      </c>
      <c r="R81" s="80">
        <f t="shared" si="8"/>
        <v>1</v>
      </c>
      <c r="S81" s="101" t="s">
        <v>152</v>
      </c>
      <c r="T81" s="101" t="s">
        <v>152</v>
      </c>
      <c r="U81" s="80" t="s">
        <v>195</v>
      </c>
      <c r="V81" s="80" t="s">
        <v>153</v>
      </c>
      <c r="W81" s="107">
        <v>5</v>
      </c>
      <c r="X81" s="80" t="s">
        <v>610</v>
      </c>
      <c r="Y81" s="80" t="s">
        <v>155</v>
      </c>
      <c r="Z81" s="128" t="s">
        <v>582</v>
      </c>
      <c r="AA81" s="131">
        <v>5</v>
      </c>
      <c r="AB81" s="127" t="s">
        <v>734</v>
      </c>
      <c r="AC81" s="80">
        <v>2</v>
      </c>
      <c r="AD81" s="90" t="s">
        <v>735</v>
      </c>
      <c r="AE81" s="90"/>
      <c r="AF81" s="92"/>
      <c r="AG81" s="92"/>
      <c r="AH81" s="92"/>
      <c r="AI81" s="93"/>
      <c r="AJ81" s="92"/>
      <c r="AK81" s="92"/>
      <c r="AL81" s="94"/>
      <c r="AM81" s="94"/>
      <c r="AN81" s="93"/>
      <c r="AO81" s="92"/>
      <c r="AP81" s="93"/>
      <c r="AQ81" s="95"/>
      <c r="AR81" s="95"/>
      <c r="AS81" s="95"/>
      <c r="AT81" s="96"/>
      <c r="AU81" s="95"/>
      <c r="AV81" s="95"/>
      <c r="AW81" s="95"/>
      <c r="AX81" s="95"/>
      <c r="AY81" s="96"/>
      <c r="AZ81" s="95"/>
      <c r="BA81" s="96"/>
    </row>
    <row r="82" spans="1:53" ht="165" x14ac:dyDescent="0.4">
      <c r="A82" s="80" t="s">
        <v>736</v>
      </c>
      <c r="B82" s="80" t="s">
        <v>737</v>
      </c>
      <c r="C82" s="88" t="s">
        <v>2247</v>
      </c>
      <c r="D82" s="125" t="s">
        <v>630</v>
      </c>
      <c r="E82" s="108" t="s">
        <v>146</v>
      </c>
      <c r="F82" s="83" t="s">
        <v>147</v>
      </c>
      <c r="G82" s="105" t="s">
        <v>148</v>
      </c>
      <c r="H82" s="80" t="s">
        <v>738</v>
      </c>
      <c r="I82" s="80" t="s">
        <v>733</v>
      </c>
      <c r="J82" s="106">
        <v>43319</v>
      </c>
      <c r="K82" s="106">
        <v>43326</v>
      </c>
      <c r="L82" s="106">
        <v>43340</v>
      </c>
      <c r="M82" s="543" t="s">
        <v>152</v>
      </c>
      <c r="N82" s="80" t="s">
        <v>151</v>
      </c>
      <c r="O82" s="106">
        <v>43341</v>
      </c>
      <c r="P82" s="107">
        <f t="shared" si="6"/>
        <v>22</v>
      </c>
      <c r="Q82" s="80">
        <f t="shared" si="7"/>
        <v>15</v>
      </c>
      <c r="R82" s="80">
        <f>O82-L82</f>
        <v>1</v>
      </c>
      <c r="S82" s="101" t="s">
        <v>152</v>
      </c>
      <c r="T82" s="101" t="s">
        <v>152</v>
      </c>
      <c r="U82" s="125" t="s">
        <v>1832</v>
      </c>
      <c r="V82" s="80" t="s">
        <v>153</v>
      </c>
      <c r="W82" s="107">
        <v>4</v>
      </c>
      <c r="X82" s="80" t="s">
        <v>739</v>
      </c>
      <c r="Y82" s="80" t="s">
        <v>155</v>
      </c>
      <c r="Z82" s="128" t="s">
        <v>582</v>
      </c>
      <c r="AA82" s="131">
        <v>7</v>
      </c>
      <c r="AB82" s="127" t="s">
        <v>740</v>
      </c>
      <c r="AC82" s="80">
        <v>2</v>
      </c>
      <c r="AD82" s="90" t="s">
        <v>741</v>
      </c>
      <c r="AE82" s="90"/>
      <c r="AF82" s="92"/>
      <c r="AG82" s="92"/>
      <c r="AH82" s="92"/>
      <c r="AI82" s="93"/>
      <c r="AJ82" s="92"/>
      <c r="AK82" s="92"/>
      <c r="AL82" s="94"/>
      <c r="AM82" s="94"/>
      <c r="AN82" s="93"/>
      <c r="AO82" s="92"/>
      <c r="AP82" s="93"/>
      <c r="AQ82" s="95"/>
      <c r="AR82" s="95"/>
      <c r="AS82" s="95"/>
      <c r="AT82" s="96"/>
      <c r="AU82" s="95"/>
      <c r="AV82" s="95"/>
      <c r="AW82" s="95"/>
      <c r="AX82" s="95"/>
      <c r="AY82" s="96"/>
      <c r="AZ82" s="95"/>
      <c r="BA82" s="96"/>
    </row>
    <row r="83" spans="1:53" ht="105" x14ac:dyDescent="0.4">
      <c r="A83" s="115" t="s">
        <v>742</v>
      </c>
      <c r="B83" s="115" t="s">
        <v>743</v>
      </c>
      <c r="C83" s="132" t="s">
        <v>353</v>
      </c>
      <c r="D83" s="125" t="s">
        <v>630</v>
      </c>
      <c r="E83" s="133" t="s">
        <v>146</v>
      </c>
      <c r="F83" s="83" t="s">
        <v>147</v>
      </c>
      <c r="G83" s="134" t="s">
        <v>417</v>
      </c>
      <c r="H83" s="115" t="s">
        <v>744</v>
      </c>
      <c r="I83" s="115" t="s">
        <v>745</v>
      </c>
      <c r="J83" s="116">
        <v>43319</v>
      </c>
      <c r="K83" s="116">
        <v>43326</v>
      </c>
      <c r="L83" s="116">
        <v>43340</v>
      </c>
      <c r="M83" s="546" t="s">
        <v>152</v>
      </c>
      <c r="N83" s="115" t="s">
        <v>151</v>
      </c>
      <c r="O83" s="116">
        <v>43341</v>
      </c>
      <c r="P83" s="117">
        <f t="shared" si="6"/>
        <v>22</v>
      </c>
      <c r="Q83" s="115">
        <f t="shared" si="7"/>
        <v>15</v>
      </c>
      <c r="R83" s="115">
        <f t="shared" si="8"/>
        <v>1</v>
      </c>
      <c r="S83" s="135" t="s">
        <v>152</v>
      </c>
      <c r="T83" s="135" t="s">
        <v>152</v>
      </c>
      <c r="U83" s="136" t="s">
        <v>746</v>
      </c>
      <c r="V83" s="115" t="s">
        <v>153</v>
      </c>
      <c r="W83" s="117">
        <v>2</v>
      </c>
      <c r="X83" s="115" t="s">
        <v>747</v>
      </c>
      <c r="Y83" s="115" t="s">
        <v>2240</v>
      </c>
      <c r="Z83" s="137" t="s">
        <v>448</v>
      </c>
      <c r="AA83" s="138">
        <v>3</v>
      </c>
      <c r="AB83" s="139" t="s">
        <v>748</v>
      </c>
      <c r="AC83" s="140">
        <v>2</v>
      </c>
      <c r="AD83" s="141" t="s">
        <v>749</v>
      </c>
      <c r="AE83" s="141"/>
      <c r="AF83" s="142"/>
      <c r="AG83" s="142"/>
      <c r="AH83" s="142"/>
      <c r="AI83" s="143"/>
      <c r="AJ83" s="142"/>
      <c r="AK83" s="142"/>
      <c r="AL83" s="144"/>
      <c r="AM83" s="144"/>
      <c r="AN83" s="143"/>
      <c r="AO83" s="142"/>
      <c r="AP83" s="143"/>
      <c r="AQ83" s="145"/>
      <c r="AR83" s="145"/>
      <c r="AS83" s="145"/>
      <c r="AT83" s="146"/>
      <c r="AU83" s="145"/>
      <c r="AV83" s="145"/>
      <c r="AW83" s="145"/>
      <c r="AX83" s="145"/>
      <c r="AY83" s="146"/>
      <c r="AZ83" s="145"/>
      <c r="BA83" s="146"/>
    </row>
    <row r="84" spans="1:53" ht="60" x14ac:dyDescent="0.4">
      <c r="A84" s="80" t="s">
        <v>750</v>
      </c>
      <c r="B84" s="80" t="s">
        <v>751</v>
      </c>
      <c r="C84" s="88" t="s">
        <v>166</v>
      </c>
      <c r="D84" s="125" t="s">
        <v>630</v>
      </c>
      <c r="E84" s="80" t="s">
        <v>146</v>
      </c>
      <c r="F84" s="83" t="s">
        <v>147</v>
      </c>
      <c r="G84" s="80" t="s">
        <v>148</v>
      </c>
      <c r="H84" s="80" t="s">
        <v>752</v>
      </c>
      <c r="I84" s="80" t="s">
        <v>753</v>
      </c>
      <c r="J84" s="106">
        <v>43319</v>
      </c>
      <c r="K84" s="106">
        <v>43326</v>
      </c>
      <c r="L84" s="106">
        <v>43340</v>
      </c>
      <c r="M84" s="543" t="s">
        <v>152</v>
      </c>
      <c r="N84" s="80" t="s">
        <v>151</v>
      </c>
      <c r="O84" s="106">
        <v>43341</v>
      </c>
      <c r="P84" s="107">
        <f t="shared" si="6"/>
        <v>22</v>
      </c>
      <c r="Q84" s="80">
        <f t="shared" si="7"/>
        <v>15</v>
      </c>
      <c r="R84" s="80">
        <f t="shared" si="8"/>
        <v>1</v>
      </c>
      <c r="S84" s="101" t="s">
        <v>152</v>
      </c>
      <c r="T84" s="101" t="s">
        <v>152</v>
      </c>
      <c r="U84" s="147" t="s">
        <v>754</v>
      </c>
      <c r="V84" s="80" t="s">
        <v>153</v>
      </c>
      <c r="W84" s="107">
        <v>3</v>
      </c>
      <c r="X84" s="80" t="s">
        <v>755</v>
      </c>
      <c r="Y84" s="80" t="s">
        <v>155</v>
      </c>
      <c r="Z84" s="90" t="s">
        <v>156</v>
      </c>
      <c r="AA84" s="80">
        <v>2</v>
      </c>
      <c r="AB84" s="90" t="s">
        <v>756</v>
      </c>
      <c r="AC84" s="80">
        <v>2</v>
      </c>
      <c r="AD84" s="90" t="s">
        <v>757</v>
      </c>
      <c r="AE84" s="90"/>
      <c r="AF84" s="92"/>
      <c r="AG84" s="92"/>
      <c r="AH84" s="92"/>
      <c r="AI84" s="93"/>
      <c r="AJ84" s="92"/>
      <c r="AK84" s="92"/>
      <c r="AL84" s="94"/>
      <c r="AM84" s="94"/>
      <c r="AN84" s="93"/>
      <c r="AO84" s="92"/>
      <c r="AP84" s="93"/>
      <c r="AQ84" s="95"/>
      <c r="AR84" s="95"/>
      <c r="AS84" s="95"/>
      <c r="AT84" s="96"/>
      <c r="AU84" s="95"/>
      <c r="AV84" s="95"/>
      <c r="AW84" s="95"/>
      <c r="AX84" s="95"/>
      <c r="AY84" s="96"/>
      <c r="AZ84" s="95"/>
      <c r="BA84" s="96"/>
    </row>
    <row r="85" spans="1:53" ht="60" x14ac:dyDescent="0.4">
      <c r="A85" s="80" t="s">
        <v>758</v>
      </c>
      <c r="B85" s="80" t="s">
        <v>759</v>
      </c>
      <c r="C85" s="125" t="s">
        <v>166</v>
      </c>
      <c r="D85" s="125" t="s">
        <v>630</v>
      </c>
      <c r="E85" s="125" t="s">
        <v>146</v>
      </c>
      <c r="F85" s="83" t="s">
        <v>147</v>
      </c>
      <c r="G85" s="80" t="s">
        <v>148</v>
      </c>
      <c r="H85" s="125" t="s">
        <v>760</v>
      </c>
      <c r="I85" s="106" t="s">
        <v>761</v>
      </c>
      <c r="J85" s="126">
        <v>43468</v>
      </c>
      <c r="K85" s="126">
        <v>43512</v>
      </c>
      <c r="L85" s="126">
        <v>43526</v>
      </c>
      <c r="M85" s="543" t="s">
        <v>152</v>
      </c>
      <c r="N85" s="80" t="s">
        <v>151</v>
      </c>
      <c r="O85" s="126">
        <v>43613</v>
      </c>
      <c r="P85" s="148">
        <f t="shared" si="6"/>
        <v>145</v>
      </c>
      <c r="Q85" s="126"/>
      <c r="R85" s="126"/>
      <c r="S85" s="101" t="s">
        <v>152</v>
      </c>
      <c r="T85" s="101" t="s">
        <v>152</v>
      </c>
      <c r="U85" s="80" t="s">
        <v>762</v>
      </c>
      <c r="V85" s="80" t="s">
        <v>153</v>
      </c>
      <c r="W85" s="148">
        <v>2</v>
      </c>
      <c r="X85" s="80" t="s">
        <v>755</v>
      </c>
      <c r="Y85" s="80" t="s">
        <v>155</v>
      </c>
      <c r="Z85" s="125" t="s">
        <v>763</v>
      </c>
      <c r="AA85" s="80">
        <v>2</v>
      </c>
      <c r="AB85" s="80" t="s">
        <v>764</v>
      </c>
      <c r="AC85" s="125">
        <v>1</v>
      </c>
      <c r="AD85" s="80" t="s">
        <v>765</v>
      </c>
      <c r="AE85" s="125"/>
      <c r="AF85" s="149"/>
      <c r="AG85" s="149"/>
      <c r="AH85" s="149"/>
      <c r="AI85" s="150"/>
      <c r="AJ85" s="149"/>
      <c r="AK85" s="149"/>
      <c r="AL85" s="149"/>
      <c r="AM85" s="149"/>
      <c r="AN85" s="150"/>
      <c r="AO85" s="149"/>
      <c r="AP85" s="150"/>
      <c r="AQ85" s="151"/>
      <c r="AR85" s="151"/>
      <c r="AS85" s="151"/>
      <c r="AT85" s="124"/>
      <c r="AU85" s="151"/>
      <c r="AV85" s="151"/>
      <c r="AW85" s="151"/>
      <c r="AX85" s="151"/>
      <c r="AY85" s="124"/>
      <c r="AZ85" s="151"/>
      <c r="BA85" s="124"/>
    </row>
    <row r="86" spans="1:53" x14ac:dyDescent="0.4">
      <c r="A86" s="449" t="s">
        <v>2251</v>
      </c>
      <c r="B86" s="448"/>
      <c r="C86" s="448"/>
      <c r="D86" s="448"/>
      <c r="E86" s="448"/>
      <c r="F86" s="448"/>
      <c r="G86" s="448"/>
      <c r="H86" s="448"/>
      <c r="I86" s="448"/>
      <c r="J86" s="448"/>
      <c r="K86" s="448"/>
      <c r="L86" s="448"/>
      <c r="M86" s="547"/>
      <c r="N86" s="448"/>
      <c r="O86" s="448"/>
      <c r="P86" s="451">
        <f>SUBTOTAL(1, P5:P85)</f>
        <v>115.91249999999999</v>
      </c>
      <c r="Q86" s="451">
        <f>SUBTOTAL(1, Q5:Q85)</f>
        <v>93.935897435897431</v>
      </c>
      <c r="R86" s="451">
        <f>SUBTOTAL(1, R5:R85)</f>
        <v>79.935897435897431</v>
      </c>
      <c r="S86" s="452"/>
      <c r="T86" s="450"/>
      <c r="U86" s="450"/>
      <c r="V86" s="450"/>
      <c r="W86" s="451">
        <f>SUBTOTAL(1, W5:W85)</f>
        <v>3.2716049382716048</v>
      </c>
      <c r="X86" s="452"/>
      <c r="Y86" s="450"/>
      <c r="Z86" s="450"/>
      <c r="AA86" s="451">
        <f>SUBTOTAL(1, AA5:AA85)</f>
        <v>4.5925925925925926</v>
      </c>
      <c r="AB86" s="450"/>
      <c r="AC86" s="451">
        <f>SUBTOTAL(1, AC5:AC85)</f>
        <v>2.5185185185185186</v>
      </c>
      <c r="AD86" s="450"/>
      <c r="AE86" s="450"/>
      <c r="AI86" s="450"/>
      <c r="AJ86" s="450"/>
      <c r="AK86" s="450"/>
      <c r="AL86" s="450"/>
      <c r="AM86" s="450"/>
      <c r="AN86" s="450"/>
      <c r="AO86" s="450"/>
      <c r="AP86" s="450"/>
      <c r="AT86" s="450"/>
      <c r="AU86" s="450"/>
      <c r="AV86" s="450"/>
      <c r="AW86" s="450"/>
      <c r="AX86" s="450"/>
      <c r="AY86" s="450"/>
      <c r="AZ86" s="450"/>
      <c r="BA86" s="450"/>
    </row>
  </sheetData>
  <autoFilter ref="A4:BA85"/>
  <mergeCells count="4">
    <mergeCell ref="K3:M3"/>
    <mergeCell ref="N3:P3"/>
    <mergeCell ref="U3:X3"/>
    <mergeCell ref="Y3:Z3"/>
  </mergeCells>
  <phoneticPr fontId="3"/>
  <pageMargins left="0.7" right="0.7" top="0.75" bottom="0.75" header="0.3" footer="0.3"/>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A1:K83"/>
  <sheetViews>
    <sheetView showGridLines="0" zoomScale="70" zoomScaleNormal="70" workbookViewId="0"/>
  </sheetViews>
  <sheetFormatPr defaultRowHeight="18.75" x14ac:dyDescent="0.4"/>
  <cols>
    <col min="1" max="1" width="5.5" customWidth="1"/>
    <col min="2" max="7" width="25.5" customWidth="1"/>
    <col min="8" max="8" width="10.625" customWidth="1"/>
    <col min="9" max="11" width="25.5" customWidth="1"/>
  </cols>
  <sheetData>
    <row r="1" spans="1:11" ht="34.5" x14ac:dyDescent="0.45">
      <c r="A1" s="192" t="s">
        <v>766</v>
      </c>
      <c r="B1" s="193"/>
      <c r="C1" s="194"/>
      <c r="D1" s="195"/>
      <c r="E1" s="195"/>
      <c r="F1" s="195"/>
      <c r="G1" s="195"/>
      <c r="H1" s="195"/>
      <c r="I1" s="195"/>
      <c r="J1" s="195"/>
      <c r="K1" s="195"/>
    </row>
    <row r="2" spans="1:11" x14ac:dyDescent="0.2">
      <c r="A2" s="196"/>
      <c r="B2" s="152"/>
      <c r="C2" s="152"/>
      <c r="D2" s="152"/>
      <c r="E2" s="152"/>
      <c r="F2" s="152"/>
      <c r="G2" s="152"/>
      <c r="H2" s="152"/>
      <c r="I2" s="152"/>
      <c r="J2" s="152"/>
      <c r="K2" s="197"/>
    </row>
    <row r="3" spans="1:11" x14ac:dyDescent="0.2">
      <c r="A3" s="198"/>
      <c r="B3" s="155"/>
      <c r="C3" s="156"/>
      <c r="D3" s="157"/>
      <c r="E3" s="158"/>
      <c r="F3" s="156"/>
      <c r="G3" s="159"/>
      <c r="H3" s="159"/>
      <c r="I3" s="152"/>
      <c r="J3" s="160"/>
      <c r="K3" s="197"/>
    </row>
    <row r="4" spans="1:11" x14ac:dyDescent="0.2">
      <c r="A4" s="196"/>
      <c r="B4" s="161" t="s">
        <v>767</v>
      </c>
      <c r="C4" s="162"/>
      <c r="D4" s="162"/>
      <c r="E4" s="162"/>
      <c r="F4" s="162"/>
      <c r="G4" s="162"/>
      <c r="H4" s="163"/>
      <c r="I4" s="165"/>
      <c r="J4" s="153"/>
      <c r="K4" s="199"/>
    </row>
    <row r="5" spans="1:11" ht="30" x14ac:dyDescent="0.2">
      <c r="A5" s="200"/>
      <c r="B5" s="167"/>
      <c r="C5" s="168" t="s">
        <v>768</v>
      </c>
      <c r="D5" s="168" t="s">
        <v>167</v>
      </c>
      <c r="E5" s="169" t="s">
        <v>769</v>
      </c>
      <c r="F5" s="168" t="s">
        <v>632</v>
      </c>
      <c r="G5" s="168" t="s">
        <v>2362</v>
      </c>
      <c r="H5" s="168" t="s">
        <v>770</v>
      </c>
      <c r="I5" s="152"/>
      <c r="J5" s="152"/>
      <c r="K5" s="201"/>
    </row>
    <row r="6" spans="1:11" x14ac:dyDescent="0.2">
      <c r="A6" s="196"/>
      <c r="B6" s="167" t="s">
        <v>403</v>
      </c>
      <c r="C6" s="170">
        <f>COUNTIFS(Methodologies!$D:$D, Methodologies_summary!B6, Methodologies!$F:$F, Methodologies_summary!$C$5)</f>
        <v>18</v>
      </c>
      <c r="D6" s="170">
        <f>COUNTIFS(Methodologies!$D:$D, Methodologies_summary!B6, Methodologies!$F:$F, Methodologies_summary!$D$5)</f>
        <v>4</v>
      </c>
      <c r="E6" s="170">
        <f>COUNTIFS(Methodologies!$D:$D, Methodologies_summary!B6, Methodologies!$F:$F, Methodologies_summary!$E$5)</f>
        <v>0</v>
      </c>
      <c r="F6" s="170">
        <f>COUNTIFS(Methodologies!$D:$D, Methodologies_summary!B6, Methodologies!$F:$F, Methodologies_summary!$F$5)</f>
        <v>0</v>
      </c>
      <c r="G6" s="170">
        <f>COUNTIFS(Methodologies!$D:$D, Methodologies_summary!B6, Methodologies!$F:$F, Methodologies_summary!$G$5)</f>
        <v>0</v>
      </c>
      <c r="H6" s="170">
        <f>SUM(C6:G6)</f>
        <v>22</v>
      </c>
      <c r="I6" s="152"/>
      <c r="J6" s="152"/>
      <c r="K6" s="199"/>
    </row>
    <row r="7" spans="1:11" x14ac:dyDescent="0.2">
      <c r="A7" s="196"/>
      <c r="B7" s="167" t="s">
        <v>630</v>
      </c>
      <c r="C7" s="170">
        <f>COUNTIFS(Methodologies!$D:$D, Methodologies_summary!B7, Methodologies!$F:$F, Methodologies_summary!$C$5)</f>
        <v>12</v>
      </c>
      <c r="D7" s="170">
        <f>COUNTIFS(Methodologies!$D:$D, Methodologies_summary!B7, Methodologies!$F:$F, Methodologies_summary!$D$5)</f>
        <v>1</v>
      </c>
      <c r="E7" s="170">
        <f>COUNTIFS(Methodologies!$D:$D, Methodologies_summary!B7, Methodologies!$F:$F, Methodologies_summary!$E$5)</f>
        <v>1</v>
      </c>
      <c r="F7" s="170">
        <f>COUNTIFS(Methodologies!$D:$D, Methodologies_summary!B7, Methodologies!$F:$F, Methodologies_summary!$F$5)</f>
        <v>1</v>
      </c>
      <c r="G7" s="170">
        <f>COUNTIFS(Methodologies!$D:$D, Methodologies_summary!B7, Methodologies!$F:$F, Methodologies_summary!$G$5)</f>
        <v>0</v>
      </c>
      <c r="H7" s="170">
        <f t="shared" ref="H7:H22" si="0">SUM(C7:G7)</f>
        <v>15</v>
      </c>
      <c r="I7" s="152"/>
      <c r="J7" s="152"/>
      <c r="K7" s="199"/>
    </row>
    <row r="8" spans="1:11" x14ac:dyDescent="0.2">
      <c r="A8" s="196"/>
      <c r="B8" s="167" t="s">
        <v>560</v>
      </c>
      <c r="C8" s="170">
        <f>COUNTIFS(Methodologies!$D:$D, Methodologies_summary!B8, Methodologies!$F:$F, Methodologies_summary!$C$5)</f>
        <v>8</v>
      </c>
      <c r="D8" s="170">
        <f>COUNTIFS(Methodologies!$D:$D, Methodologies_summary!B8, Methodologies!$F:$F, Methodologies_summary!$D$5)</f>
        <v>1</v>
      </c>
      <c r="E8" s="170">
        <f>COUNTIFS(Methodologies!$D:$D, Methodologies_summary!B8, Methodologies!$F:$F, Methodologies_summary!$E$5)</f>
        <v>0</v>
      </c>
      <c r="F8" s="170">
        <f>COUNTIFS(Methodologies!$D:$D, Methodologies_summary!B8, Methodologies!$F:$F, Methodologies_summary!$F$5)</f>
        <v>0</v>
      </c>
      <c r="G8" s="170">
        <f>COUNTIFS(Methodologies!$D:$D, Methodologies_summary!B8, Methodologies!$F:$F, Methodologies_summary!$G$5)</f>
        <v>0</v>
      </c>
      <c r="H8" s="170">
        <f t="shared" si="0"/>
        <v>9</v>
      </c>
      <c r="I8" s="152"/>
      <c r="J8" s="152"/>
      <c r="K8" s="199"/>
    </row>
    <row r="9" spans="1:11" x14ac:dyDescent="0.2">
      <c r="A9" s="196"/>
      <c r="B9" s="167" t="s">
        <v>444</v>
      </c>
      <c r="C9" s="170">
        <f>COUNTIFS(Methodologies!$D:$D, Methodologies_summary!B9, Methodologies!$F:$F, Methodologies_summary!$C$5)</f>
        <v>3</v>
      </c>
      <c r="D9" s="170">
        <f>COUNTIFS(Methodologies!$D:$D, Methodologies_summary!B9, Methodologies!$F:$F, Methodologies_summary!$D$5)</f>
        <v>1</v>
      </c>
      <c r="E9" s="170">
        <f>COUNTIFS(Methodologies!$D:$D, Methodologies_summary!B9, Methodologies!$F:$F, Methodologies_summary!$E$5)</f>
        <v>0</v>
      </c>
      <c r="F9" s="170">
        <f>COUNTIFS(Methodologies!$D:$D, Methodologies_summary!B9, Methodologies!$F:$F, Methodologies_summary!$F$5)</f>
        <v>0</v>
      </c>
      <c r="G9" s="170">
        <f>COUNTIFS(Methodologies!$D:$D, Methodologies_summary!B9, Methodologies!$F:$F, Methodologies_summary!$G$5)</f>
        <v>1</v>
      </c>
      <c r="H9" s="170">
        <f t="shared" ref="H9" si="1">SUM(C9:G9)</f>
        <v>5</v>
      </c>
      <c r="I9" s="152"/>
      <c r="J9" s="152"/>
      <c r="K9" s="199"/>
    </row>
    <row r="10" spans="1:11" x14ac:dyDescent="0.2">
      <c r="A10" s="196"/>
      <c r="B10" s="167" t="s">
        <v>478</v>
      </c>
      <c r="C10" s="170">
        <f>COUNTIFS(Methodologies!$D:$D, Methodologies_summary!B10, Methodologies!$F:$F, Methodologies_summary!$C$5)</f>
        <v>3</v>
      </c>
      <c r="D10" s="170">
        <f>COUNTIFS(Methodologies!$D:$D, Methodologies_summary!B10, Methodologies!$F:$F, Methodologies_summary!$D$5)</f>
        <v>0</v>
      </c>
      <c r="E10" s="170">
        <f>COUNTIFS(Methodologies!$D:$D, Methodologies_summary!B10, Methodologies!$F:$F, Methodologies_summary!$E$5)</f>
        <v>2</v>
      </c>
      <c r="F10" s="170">
        <f>COUNTIFS(Methodologies!$D:$D, Methodologies_summary!B10, Methodologies!$F:$F, Methodologies_summary!$F$5)</f>
        <v>0</v>
      </c>
      <c r="G10" s="170">
        <f>COUNTIFS(Methodologies!$D:$D, Methodologies_summary!B10, Methodologies!$F:$F, Methodologies_summary!$G$5)</f>
        <v>0</v>
      </c>
      <c r="H10" s="170">
        <f t="shared" si="0"/>
        <v>5</v>
      </c>
      <c r="I10" s="152"/>
      <c r="J10" s="152"/>
      <c r="K10" s="199"/>
    </row>
    <row r="11" spans="1:11" x14ac:dyDescent="0.2">
      <c r="A11" s="196"/>
      <c r="B11" s="167" t="s">
        <v>145</v>
      </c>
      <c r="C11" s="170">
        <f>COUNTIFS(Methodologies!$D:$D, Methodologies_summary!B11, Methodologies!$F:$F, Methodologies_summary!$C$5)</f>
        <v>2</v>
      </c>
      <c r="D11" s="170">
        <f>COUNTIFS(Methodologies!$D:$D, Methodologies_summary!B11, Methodologies!$F:$F, Methodologies_summary!$D$5)</f>
        <v>1</v>
      </c>
      <c r="E11" s="170">
        <f>COUNTIFS(Methodologies!$D:$D, Methodologies_summary!B11, Methodologies!$F:$F, Methodologies_summary!$E$5)</f>
        <v>0</v>
      </c>
      <c r="F11" s="170">
        <f>COUNTIFS(Methodologies!$D:$D, Methodologies_summary!B11, Methodologies!$F:$F, Methodologies_summary!$F$5)</f>
        <v>0</v>
      </c>
      <c r="G11" s="170">
        <f>COUNTIFS(Methodologies!$D:$D, Methodologies_summary!B11, Methodologies!$F:$F, Methodologies_summary!$G$5)</f>
        <v>0</v>
      </c>
      <c r="H11" s="170">
        <f t="shared" si="0"/>
        <v>3</v>
      </c>
      <c r="I11" s="152"/>
      <c r="J11" s="152"/>
      <c r="K11" s="199"/>
    </row>
    <row r="12" spans="1:11" x14ac:dyDescent="0.2">
      <c r="A12" s="196"/>
      <c r="B12" s="167" t="s">
        <v>188</v>
      </c>
      <c r="C12" s="170">
        <f>COUNTIFS(Methodologies!$D:$D, Methodologies_summary!B12, Methodologies!$F:$F, Methodologies_summary!$C$5)</f>
        <v>2</v>
      </c>
      <c r="D12" s="170">
        <f>COUNTIFS(Methodologies!$D:$D, Methodologies_summary!B12, Methodologies!$F:$F, Methodologies_summary!$D$5)</f>
        <v>1</v>
      </c>
      <c r="E12" s="170">
        <f>COUNTIFS(Methodologies!$D:$D, Methodologies_summary!B12, Methodologies!$F:$F, Methodologies_summary!$E$5)</f>
        <v>0</v>
      </c>
      <c r="F12" s="170">
        <f>COUNTIFS(Methodologies!$D:$D, Methodologies_summary!B12, Methodologies!$F:$F, Methodologies_summary!$F$5)</f>
        <v>0</v>
      </c>
      <c r="G12" s="170">
        <f>COUNTIFS(Methodologies!$D:$D, Methodologies_summary!B12, Methodologies!$F:$F, Methodologies_summary!$G$5)</f>
        <v>0</v>
      </c>
      <c r="H12" s="170">
        <f t="shared" si="0"/>
        <v>3</v>
      </c>
      <c r="I12" s="152"/>
      <c r="J12" s="152"/>
      <c r="K12" s="199"/>
    </row>
    <row r="13" spans="1:11" x14ac:dyDescent="0.2">
      <c r="A13" s="196"/>
      <c r="B13" s="167" t="s">
        <v>207</v>
      </c>
      <c r="C13" s="170">
        <f>COUNTIFS(Methodologies!$D:$D, Methodologies_summary!B13, Methodologies!$F:$F, Methodologies_summary!$C$5)</f>
        <v>0</v>
      </c>
      <c r="D13" s="170">
        <f>COUNTIFS(Methodologies!$D:$D, Methodologies_summary!B13, Methodologies!$F:$F, Methodologies_summary!$D$5)</f>
        <v>2</v>
      </c>
      <c r="E13" s="170">
        <f>COUNTIFS(Methodologies!$D:$D, Methodologies_summary!B13, Methodologies!$F:$F, Methodologies_summary!$E$5)</f>
        <v>1</v>
      </c>
      <c r="F13" s="170">
        <f>COUNTIFS(Methodologies!$D:$D, Methodologies_summary!B13, Methodologies!$F:$F, Methodologies_summary!$F$5)</f>
        <v>0</v>
      </c>
      <c r="G13" s="170">
        <f>COUNTIFS(Methodologies!$D:$D, Methodologies_summary!B13, Methodologies!$F:$F, Methodologies_summary!$G$5)</f>
        <v>0</v>
      </c>
      <c r="H13" s="170">
        <f t="shared" si="0"/>
        <v>3</v>
      </c>
      <c r="I13" s="152"/>
      <c r="J13" s="152"/>
      <c r="K13" s="199"/>
    </row>
    <row r="14" spans="1:11" x14ac:dyDescent="0.2">
      <c r="A14" s="196"/>
      <c r="B14" s="167" t="s">
        <v>430</v>
      </c>
      <c r="C14" s="170">
        <f>COUNTIFS(Methodologies!$D:$D, Methodologies_summary!B14, Methodologies!$F:$F, Methodologies_summary!$C$5)</f>
        <v>0</v>
      </c>
      <c r="D14" s="170">
        <f>COUNTIFS(Methodologies!$D:$D, Methodologies_summary!B14, Methodologies!$F:$F, Methodologies_summary!$D$5)</f>
        <v>3</v>
      </c>
      <c r="E14" s="170">
        <f>COUNTIFS(Methodologies!$D:$D, Methodologies_summary!B14, Methodologies!$F:$F, Methodologies_summary!$E$5)</f>
        <v>0</v>
      </c>
      <c r="F14" s="170">
        <f>COUNTIFS(Methodologies!$D:$D, Methodologies_summary!B14, Methodologies!$F:$F, Methodologies_summary!$F$5)</f>
        <v>0</v>
      </c>
      <c r="G14" s="170">
        <f>COUNTIFS(Methodologies!$D:$D, Methodologies_summary!B14, Methodologies!$F:$F, Methodologies_summary!$G$5)</f>
        <v>0</v>
      </c>
      <c r="H14" s="170">
        <f t="shared" si="0"/>
        <v>3</v>
      </c>
      <c r="I14" s="152"/>
      <c r="J14" s="152"/>
      <c r="K14" s="199"/>
    </row>
    <row r="15" spans="1:11" x14ac:dyDescent="0.2">
      <c r="A15" s="196"/>
      <c r="B15" s="167" t="s">
        <v>458</v>
      </c>
      <c r="C15" s="170">
        <f>COUNTIFS(Methodologies!$D:$D, Methodologies_summary!B15, Methodologies!$F:$F, Methodologies_summary!$C$5)</f>
        <v>2</v>
      </c>
      <c r="D15" s="170">
        <f>COUNTIFS(Methodologies!$D:$D, Methodologies_summary!B15, Methodologies!$F:$F, Methodologies_summary!$D$5)</f>
        <v>1</v>
      </c>
      <c r="E15" s="170">
        <f>COUNTIFS(Methodologies!$D:$D, Methodologies_summary!B15, Methodologies!$F:$F, Methodologies_summary!$E$5)</f>
        <v>0</v>
      </c>
      <c r="F15" s="170">
        <f>COUNTIFS(Methodologies!$D:$D, Methodologies_summary!B15, Methodologies!$F:$F, Methodologies_summary!$F$5)</f>
        <v>0</v>
      </c>
      <c r="G15" s="170">
        <f>COUNTIFS(Methodologies!$D:$D, Methodologies_summary!B15, Methodologies!$F:$F, Methodologies_summary!$G$5)</f>
        <v>0</v>
      </c>
      <c r="H15" s="170">
        <f t="shared" si="0"/>
        <v>3</v>
      </c>
      <c r="I15" s="152"/>
      <c r="J15" s="152"/>
      <c r="K15" s="199"/>
    </row>
    <row r="16" spans="1:11" x14ac:dyDescent="0.2">
      <c r="A16" s="196"/>
      <c r="B16" s="167" t="s">
        <v>509</v>
      </c>
      <c r="C16" s="170">
        <f>COUNTIFS(Methodologies!$D:$D, Methodologies_summary!B16, Methodologies!$F:$F, Methodologies_summary!$C$5)</f>
        <v>2</v>
      </c>
      <c r="D16" s="170">
        <f>COUNTIFS(Methodologies!$D:$D, Methodologies_summary!B16, Methodologies!$F:$F, Methodologies_summary!$D$5)</f>
        <v>1</v>
      </c>
      <c r="E16" s="170">
        <f>COUNTIFS(Methodologies!$D:$D, Methodologies_summary!B16, Methodologies!$F:$F, Methodologies_summary!$E$5)</f>
        <v>0</v>
      </c>
      <c r="F16" s="170">
        <f>COUNTIFS(Methodologies!$D:$D, Methodologies_summary!B16, Methodologies!$F:$F, Methodologies_summary!$F$5)</f>
        <v>0</v>
      </c>
      <c r="G16" s="170">
        <f>COUNTIFS(Methodologies!$D:$D, Methodologies_summary!B16, Methodologies!$F:$F, Methodologies_summary!$G$5)</f>
        <v>0</v>
      </c>
      <c r="H16" s="170">
        <f t="shared" si="0"/>
        <v>3</v>
      </c>
      <c r="I16" s="152"/>
      <c r="J16" s="152"/>
      <c r="K16" s="199"/>
    </row>
    <row r="17" spans="1:11" x14ac:dyDescent="0.2">
      <c r="A17" s="196"/>
      <c r="B17" s="167" t="s">
        <v>771</v>
      </c>
      <c r="C17" s="170">
        <f>COUNTIFS(Methodologies!$D:$D, Methodologies_summary!B17, Methodologies!$F:$F, Methodologies_summary!$C$5)</f>
        <v>0</v>
      </c>
      <c r="D17" s="170">
        <f>COUNTIFS(Methodologies!$D:$D, Methodologies_summary!B17, Methodologies!$F:$F, Methodologies_summary!$D$5)</f>
        <v>2</v>
      </c>
      <c r="E17" s="170">
        <f>COUNTIFS(Methodologies!$D:$D, Methodologies_summary!B17, Methodologies!$F:$F, Methodologies_summary!$E$5)</f>
        <v>0</v>
      </c>
      <c r="F17" s="170">
        <f>COUNTIFS(Methodologies!$D:$D, Methodologies_summary!B17, Methodologies!$F:$F, Methodologies_summary!$F$5)</f>
        <v>0</v>
      </c>
      <c r="G17" s="170">
        <f>COUNTIFS(Methodologies!$D:$D, Methodologies_summary!B17, Methodologies!$F:$F, Methodologies_summary!$G$5)</f>
        <v>0</v>
      </c>
      <c r="H17" s="170">
        <f t="shared" ref="H17" si="2">SUM(C17:G17)</f>
        <v>2</v>
      </c>
      <c r="I17" s="152"/>
      <c r="J17" s="152"/>
      <c r="K17" s="199"/>
    </row>
    <row r="18" spans="1:11" x14ac:dyDescent="0.2">
      <c r="A18" s="196"/>
      <c r="B18" s="167" t="s">
        <v>183</v>
      </c>
      <c r="C18" s="170">
        <f>COUNTIFS(Methodologies!$D:$D, Methodologies_summary!B18, Methodologies!$F:$F, Methodologies_summary!$C$5)</f>
        <v>0</v>
      </c>
      <c r="D18" s="170">
        <f>COUNTIFS(Methodologies!$D:$D, Methodologies_summary!B18, Methodologies!$F:$F, Methodologies_summary!$D$5)</f>
        <v>1</v>
      </c>
      <c r="E18" s="170">
        <f>COUNTIFS(Methodologies!$D:$D, Methodologies_summary!B18, Methodologies!$F:$F, Methodologies_summary!$E$5)</f>
        <v>0</v>
      </c>
      <c r="F18" s="170">
        <f>COUNTIFS(Methodologies!$D:$D, Methodologies_summary!B18, Methodologies!$F:$F, Methodologies_summary!$F$5)</f>
        <v>0</v>
      </c>
      <c r="G18" s="170">
        <f>COUNTIFS(Methodologies!$D:$D, Methodologies_summary!B18, Methodologies!$F:$F, Methodologies_summary!$G$5)</f>
        <v>0</v>
      </c>
      <c r="H18" s="170">
        <f t="shared" si="0"/>
        <v>1</v>
      </c>
      <c r="I18" s="152"/>
      <c r="J18" s="152"/>
      <c r="K18" s="199"/>
    </row>
    <row r="19" spans="1:11" x14ac:dyDescent="0.2">
      <c r="A19" s="196"/>
      <c r="B19" s="167" t="s">
        <v>536</v>
      </c>
      <c r="C19" s="170">
        <f>COUNTIFS(Methodologies!$D:$D, Methodologies_summary!B19, Methodologies!$F:$F, Methodologies_summary!$C$5)</f>
        <v>0</v>
      </c>
      <c r="D19" s="170">
        <f>COUNTIFS(Methodologies!$D:$D, Methodologies_summary!B19, Methodologies!$F:$F, Methodologies_summary!$D$5)</f>
        <v>1</v>
      </c>
      <c r="E19" s="170">
        <f>COUNTIFS(Methodologies!$D:$D, Methodologies_summary!B19, Methodologies!$F:$F, Methodologies_summary!$E$5)</f>
        <v>0</v>
      </c>
      <c r="F19" s="170">
        <f>COUNTIFS(Methodologies!$D:$D, Methodologies_summary!B19, Methodologies!$F:$F, Methodologies_summary!$F$5)</f>
        <v>0</v>
      </c>
      <c r="G19" s="170">
        <f>COUNTIFS(Methodologies!$D:$D, Methodologies_summary!B19, Methodologies!$F:$F, Methodologies_summary!$G$5)</f>
        <v>0</v>
      </c>
      <c r="H19" s="170">
        <f t="shared" si="0"/>
        <v>1</v>
      </c>
      <c r="I19" s="152"/>
      <c r="J19" s="152"/>
      <c r="K19" s="199"/>
    </row>
    <row r="20" spans="1:11" x14ac:dyDescent="0.2">
      <c r="A20" s="196"/>
      <c r="B20" s="167" t="s">
        <v>542</v>
      </c>
      <c r="C20" s="170">
        <f>COUNTIFS(Methodologies!$D:$D, Methodologies_summary!B20, Methodologies!$F:$F, Methodologies_summary!$C$5)</f>
        <v>0</v>
      </c>
      <c r="D20" s="170">
        <f>COUNTIFS(Methodologies!$D:$D, Methodologies_summary!B20, Methodologies!$F:$F, Methodologies_summary!$D$5)</f>
        <v>1</v>
      </c>
      <c r="E20" s="170">
        <f>COUNTIFS(Methodologies!$D:$D, Methodologies_summary!B20, Methodologies!$F:$F, Methodologies_summary!$E$5)</f>
        <v>0</v>
      </c>
      <c r="F20" s="170">
        <f>COUNTIFS(Methodologies!$D:$D, Methodologies_summary!B20, Methodologies!$F:$F, Methodologies_summary!$F$5)</f>
        <v>0</v>
      </c>
      <c r="G20" s="170">
        <f>COUNTIFS(Methodologies!$D:$D, Methodologies_summary!B20, Methodologies!$F:$F, Methodologies_summary!$G$5)</f>
        <v>0</v>
      </c>
      <c r="H20" s="170">
        <f t="shared" si="0"/>
        <v>1</v>
      </c>
      <c r="I20" s="152"/>
      <c r="J20" s="152"/>
      <c r="K20" s="199"/>
    </row>
    <row r="21" spans="1:11" x14ac:dyDescent="0.2">
      <c r="A21" s="196"/>
      <c r="B21" s="167" t="s">
        <v>548</v>
      </c>
      <c r="C21" s="170">
        <f>COUNTIFS(Methodologies!$D:$D, Methodologies_summary!B21, Methodologies!$F:$F, Methodologies_summary!$C$5)</f>
        <v>0</v>
      </c>
      <c r="D21" s="170">
        <f>COUNTIFS(Methodologies!$D:$D, Methodologies_summary!B21, Methodologies!$F:$F, Methodologies_summary!$D$5)</f>
        <v>1</v>
      </c>
      <c r="E21" s="170">
        <f>COUNTIFS(Methodologies!$D:$D, Methodologies_summary!B21, Methodologies!$F:$F, Methodologies_summary!$E$5)</f>
        <v>0</v>
      </c>
      <c r="F21" s="170">
        <f>COUNTIFS(Methodologies!$D:$D, Methodologies_summary!B21, Methodologies!$F:$F, Methodologies_summary!$F$5)</f>
        <v>0</v>
      </c>
      <c r="G21" s="170">
        <f>COUNTIFS(Methodologies!$D:$D, Methodologies_summary!B21, Methodologies!$F:$F, Methodologies_summary!$G$5)</f>
        <v>0</v>
      </c>
      <c r="H21" s="170">
        <f t="shared" si="0"/>
        <v>1</v>
      </c>
      <c r="I21" s="152"/>
      <c r="J21" s="152"/>
      <c r="K21" s="199"/>
    </row>
    <row r="22" spans="1:11" x14ac:dyDescent="0.2">
      <c r="A22" s="196"/>
      <c r="B22" s="167" t="s">
        <v>553</v>
      </c>
      <c r="C22" s="170">
        <f>COUNTIFS(Methodologies!$D:$D, Methodologies_summary!B22, Methodologies!$F:$F, Methodologies_summary!$C$5)</f>
        <v>1</v>
      </c>
      <c r="D22" s="170">
        <f>COUNTIFS(Methodologies!$D:$D, Methodologies_summary!B22, Methodologies!$F:$F, Methodologies_summary!$D$5)</f>
        <v>0</v>
      </c>
      <c r="E22" s="170">
        <f>COUNTIFS(Methodologies!$D:$D, Methodologies_summary!B22, Methodologies!$F:$F, Methodologies_summary!$E$5)</f>
        <v>0</v>
      </c>
      <c r="F22" s="170">
        <f>COUNTIFS(Methodologies!$D:$D, Methodologies_summary!B22, Methodologies!$F:$F, Methodologies_summary!$F$5)</f>
        <v>0</v>
      </c>
      <c r="G22" s="170">
        <f>COUNTIFS(Methodologies!$D:$D, Methodologies_summary!B22, Methodologies!$F:$F, Methodologies_summary!$G$5)</f>
        <v>0</v>
      </c>
      <c r="H22" s="170">
        <f t="shared" si="0"/>
        <v>1</v>
      </c>
      <c r="I22" s="152"/>
      <c r="J22" s="152"/>
      <c r="K22" s="199"/>
    </row>
    <row r="23" spans="1:11" x14ac:dyDescent="0.2">
      <c r="A23" s="196"/>
      <c r="B23" s="167" t="s">
        <v>770</v>
      </c>
      <c r="C23" s="171">
        <f>SUM(C6:C22)</f>
        <v>53</v>
      </c>
      <c r="D23" s="171">
        <f>SUM(D6:D22)</f>
        <v>22</v>
      </c>
      <c r="E23" s="171">
        <f>SUM(E6:E22)</f>
        <v>4</v>
      </c>
      <c r="F23" s="171">
        <f>SUM(F6:F22)</f>
        <v>1</v>
      </c>
      <c r="G23" s="171">
        <f>SUM(G6:G22)</f>
        <v>1</v>
      </c>
      <c r="H23" s="171">
        <f>IF(SUM(H6:H22)=SUM(C23:G23), SUM(H6:H22), "NA")</f>
        <v>81</v>
      </c>
      <c r="I23" s="152"/>
      <c r="J23" s="152"/>
      <c r="K23" s="199"/>
    </row>
    <row r="24" spans="1:11" x14ac:dyDescent="0.2">
      <c r="A24" s="196"/>
      <c r="B24" s="152"/>
      <c r="C24" s="152"/>
      <c r="D24" s="152"/>
      <c r="E24" s="152"/>
      <c r="F24" s="152"/>
      <c r="G24" s="152"/>
      <c r="H24" s="152"/>
      <c r="I24" s="152"/>
      <c r="J24" s="152"/>
      <c r="K24" s="199"/>
    </row>
    <row r="25" spans="1:11" x14ac:dyDescent="0.2">
      <c r="A25" s="196"/>
      <c r="B25" s="152"/>
      <c r="C25" s="152"/>
      <c r="D25" s="152"/>
      <c r="E25" s="152"/>
      <c r="F25" s="152"/>
      <c r="G25" s="152"/>
      <c r="H25" s="152"/>
      <c r="I25" s="152"/>
      <c r="J25" s="152"/>
      <c r="K25" s="199"/>
    </row>
    <row r="26" spans="1:11" ht="20.25" x14ac:dyDescent="0.2">
      <c r="A26" s="196"/>
      <c r="B26" s="172" t="s">
        <v>772</v>
      </c>
      <c r="C26" s="173"/>
      <c r="D26" s="174"/>
      <c r="E26" s="175"/>
      <c r="F26" s="152"/>
      <c r="G26" s="172" t="s">
        <v>773</v>
      </c>
      <c r="H26" s="176"/>
      <c r="I26" s="174"/>
      <c r="J26" s="175"/>
      <c r="K26" s="199"/>
    </row>
    <row r="27" spans="1:11" x14ac:dyDescent="0.2">
      <c r="A27" s="196"/>
      <c r="B27" s="177"/>
      <c r="C27" s="177"/>
      <c r="D27" s="177"/>
      <c r="E27" s="177"/>
      <c r="F27" s="152"/>
      <c r="G27" s="177"/>
      <c r="H27" s="177"/>
      <c r="I27" s="177"/>
      <c r="J27" s="177"/>
      <c r="K27" s="199"/>
    </row>
    <row r="28" spans="1:11" x14ac:dyDescent="0.2">
      <c r="A28" s="196"/>
      <c r="B28" s="152"/>
      <c r="C28" s="152"/>
      <c r="D28" s="152"/>
      <c r="E28" s="152"/>
      <c r="F28" s="152"/>
      <c r="G28" s="152"/>
      <c r="H28" s="152"/>
      <c r="I28" s="152"/>
      <c r="J28" s="152"/>
      <c r="K28" s="199"/>
    </row>
    <row r="29" spans="1:11" x14ac:dyDescent="0.2">
      <c r="A29" s="196"/>
      <c r="B29" s="152"/>
      <c r="C29" s="152"/>
      <c r="D29" s="152"/>
      <c r="E29" s="152"/>
      <c r="F29" s="152"/>
      <c r="G29" s="152"/>
      <c r="H29" s="152"/>
      <c r="I29" s="152"/>
      <c r="J29" s="152"/>
      <c r="K29" s="199"/>
    </row>
    <row r="30" spans="1:11" x14ac:dyDescent="0.2">
      <c r="A30" s="198"/>
      <c r="B30" s="152"/>
      <c r="C30" s="152"/>
      <c r="D30" s="152"/>
      <c r="E30" s="152"/>
      <c r="F30" s="152"/>
      <c r="G30" s="152"/>
      <c r="H30" s="152"/>
      <c r="I30" s="152"/>
      <c r="J30" s="152"/>
      <c r="K30" s="199"/>
    </row>
    <row r="31" spans="1:11" x14ac:dyDescent="0.2">
      <c r="A31" s="198"/>
      <c r="B31" s="152"/>
      <c r="C31" s="152"/>
      <c r="D31" s="152"/>
      <c r="E31" s="152"/>
      <c r="F31" s="152"/>
      <c r="G31" s="152"/>
      <c r="H31" s="152"/>
      <c r="I31" s="152"/>
      <c r="J31" s="152"/>
      <c r="K31" s="199"/>
    </row>
    <row r="32" spans="1:11" x14ac:dyDescent="0.2">
      <c r="A32" s="198"/>
      <c r="B32" s="152"/>
      <c r="C32" s="152"/>
      <c r="D32" s="152"/>
      <c r="E32" s="152"/>
      <c r="F32" s="152"/>
      <c r="G32" s="152"/>
      <c r="H32" s="152"/>
      <c r="I32" s="152"/>
      <c r="J32" s="152"/>
      <c r="K32" s="199"/>
    </row>
    <row r="33" spans="1:11" x14ac:dyDescent="0.2">
      <c r="A33" s="198"/>
      <c r="B33" s="152"/>
      <c r="C33" s="152"/>
      <c r="D33" s="152"/>
      <c r="E33" s="152"/>
      <c r="F33" s="152"/>
      <c r="G33" s="152"/>
      <c r="H33" s="152"/>
      <c r="I33" s="152"/>
      <c r="J33" s="152"/>
      <c r="K33" s="199"/>
    </row>
    <row r="34" spans="1:11" x14ac:dyDescent="0.2">
      <c r="A34" s="198"/>
      <c r="B34" s="152"/>
      <c r="C34" s="152"/>
      <c r="D34" s="152"/>
      <c r="E34" s="152"/>
      <c r="F34" s="152"/>
      <c r="G34" s="152"/>
      <c r="H34" s="152"/>
      <c r="I34" s="152"/>
      <c r="J34" s="152"/>
      <c r="K34" s="199"/>
    </row>
    <row r="35" spans="1:11" x14ac:dyDescent="0.2">
      <c r="A35" s="198"/>
      <c r="B35" s="152"/>
      <c r="C35" s="152"/>
      <c r="D35" s="152"/>
      <c r="E35" s="152"/>
      <c r="F35" s="152"/>
      <c r="G35" s="152"/>
      <c r="H35" s="152"/>
      <c r="I35" s="152"/>
      <c r="J35" s="152"/>
      <c r="K35" s="199"/>
    </row>
    <row r="36" spans="1:11" x14ac:dyDescent="0.2">
      <c r="A36" s="198"/>
      <c r="B36" s="152"/>
      <c r="C36" s="152"/>
      <c r="D36" s="152"/>
      <c r="E36" s="152"/>
      <c r="F36" s="152"/>
      <c r="G36" s="152"/>
      <c r="H36" s="152"/>
      <c r="I36" s="152"/>
      <c r="J36" s="152"/>
      <c r="K36" s="199"/>
    </row>
    <row r="37" spans="1:11" x14ac:dyDescent="0.2">
      <c r="A37" s="198"/>
      <c r="B37" s="152"/>
      <c r="C37" s="152"/>
      <c r="D37" s="152"/>
      <c r="E37" s="152"/>
      <c r="F37" s="152"/>
      <c r="G37" s="152"/>
      <c r="H37" s="152"/>
      <c r="I37" s="152"/>
      <c r="J37" s="152"/>
      <c r="K37" s="199"/>
    </row>
    <row r="38" spans="1:11" x14ac:dyDescent="0.2">
      <c r="A38" s="198"/>
      <c r="B38" s="152"/>
      <c r="C38" s="152"/>
      <c r="D38" s="152"/>
      <c r="E38" s="152"/>
      <c r="F38" s="152"/>
      <c r="G38" s="152"/>
      <c r="H38" s="152"/>
      <c r="I38" s="152"/>
      <c r="J38" s="152"/>
      <c r="K38" s="199"/>
    </row>
    <row r="39" spans="1:11" x14ac:dyDescent="0.2">
      <c r="A39" s="198"/>
      <c r="B39" s="152"/>
      <c r="C39" s="152"/>
      <c r="D39" s="152"/>
      <c r="E39" s="152"/>
      <c r="F39" s="152"/>
      <c r="G39" s="152"/>
      <c r="H39" s="152"/>
      <c r="I39" s="152"/>
      <c r="J39" s="152"/>
      <c r="K39" s="199"/>
    </row>
    <row r="40" spans="1:11" x14ac:dyDescent="0.2">
      <c r="A40" s="198"/>
      <c r="B40" s="152"/>
      <c r="C40" s="152"/>
      <c r="D40" s="152"/>
      <c r="E40" s="152"/>
      <c r="F40" s="152"/>
      <c r="G40" s="152"/>
      <c r="H40" s="152"/>
      <c r="I40" s="152"/>
      <c r="J40" s="152"/>
      <c r="K40" s="199"/>
    </row>
    <row r="41" spans="1:11" x14ac:dyDescent="0.2">
      <c r="A41" s="198"/>
      <c r="B41" s="152"/>
      <c r="C41" s="152"/>
      <c r="D41" s="152"/>
      <c r="E41" s="152"/>
      <c r="F41" s="152"/>
      <c r="G41" s="152"/>
      <c r="H41" s="152"/>
      <c r="I41" s="152"/>
      <c r="J41" s="152"/>
      <c r="K41" s="199"/>
    </row>
    <row r="42" spans="1:11" x14ac:dyDescent="0.2">
      <c r="A42" s="198"/>
      <c r="B42" s="152"/>
      <c r="C42" s="152"/>
      <c r="D42" s="152"/>
      <c r="E42" s="152"/>
      <c r="F42" s="152"/>
      <c r="G42" s="152"/>
      <c r="H42" s="152"/>
      <c r="I42" s="152"/>
      <c r="J42" s="152"/>
      <c r="K42" s="199"/>
    </row>
    <row r="43" spans="1:11" x14ac:dyDescent="0.2">
      <c r="A43" s="198"/>
      <c r="B43" s="152"/>
      <c r="C43" s="152"/>
      <c r="D43" s="152"/>
      <c r="E43" s="152"/>
      <c r="F43" s="152"/>
      <c r="G43" s="152"/>
      <c r="H43" s="152"/>
      <c r="I43" s="152"/>
      <c r="J43" s="152"/>
      <c r="K43" s="199"/>
    </row>
    <row r="44" spans="1:11" x14ac:dyDescent="0.2">
      <c r="A44" s="198"/>
      <c r="B44" s="152"/>
      <c r="C44" s="152"/>
      <c r="D44" s="152"/>
      <c r="E44" s="152"/>
      <c r="F44" s="152"/>
      <c r="G44" s="152"/>
      <c r="H44" s="152"/>
      <c r="I44" s="152"/>
      <c r="J44" s="152"/>
      <c r="K44" s="199"/>
    </row>
    <row r="45" spans="1:11" x14ac:dyDescent="0.2">
      <c r="A45" s="198"/>
      <c r="B45" s="152"/>
      <c r="C45" s="152"/>
      <c r="D45" s="152"/>
      <c r="E45" s="152"/>
      <c r="F45" s="152"/>
      <c r="G45" s="152"/>
      <c r="H45" s="152"/>
      <c r="I45" s="152"/>
      <c r="J45" s="152"/>
      <c r="K45" s="199"/>
    </row>
    <row r="46" spans="1:11" x14ac:dyDescent="0.2">
      <c r="A46" s="198"/>
      <c r="B46" s="152"/>
      <c r="C46" s="152"/>
      <c r="D46" s="152"/>
      <c r="E46" s="152"/>
      <c r="F46" s="152"/>
      <c r="G46" s="152"/>
      <c r="H46" s="152"/>
      <c r="I46" s="152"/>
      <c r="J46" s="152"/>
      <c r="K46" s="199"/>
    </row>
    <row r="47" spans="1:11" x14ac:dyDescent="0.2">
      <c r="A47" s="198"/>
      <c r="B47" s="152"/>
      <c r="C47" s="152"/>
      <c r="D47" s="152"/>
      <c r="E47" s="152"/>
      <c r="F47" s="152"/>
      <c r="G47" s="152"/>
      <c r="H47" s="152"/>
      <c r="I47" s="152"/>
      <c r="J47" s="152"/>
      <c r="K47" s="199"/>
    </row>
    <row r="48" spans="1:11" x14ac:dyDescent="0.2">
      <c r="A48" s="198"/>
      <c r="B48" s="152"/>
      <c r="C48" s="152"/>
      <c r="D48" s="152"/>
      <c r="E48" s="152"/>
      <c r="F48" s="152"/>
      <c r="G48" s="152"/>
      <c r="H48" s="152"/>
      <c r="I48" s="152"/>
      <c r="J48" s="152"/>
      <c r="K48" s="199"/>
    </row>
    <row r="49" spans="1:11" x14ac:dyDescent="0.2">
      <c r="A49" s="198"/>
      <c r="B49" s="152"/>
      <c r="C49" s="152"/>
      <c r="D49" s="152"/>
      <c r="E49" s="152"/>
      <c r="F49" s="152"/>
      <c r="G49" s="152"/>
      <c r="H49" s="152"/>
      <c r="I49" s="152"/>
      <c r="J49" s="152"/>
      <c r="K49" s="199"/>
    </row>
    <row r="50" spans="1:11" x14ac:dyDescent="0.2">
      <c r="A50" s="196"/>
      <c r="B50" s="177"/>
      <c r="C50" s="177"/>
      <c r="D50" s="177"/>
      <c r="E50" s="177"/>
      <c r="F50" s="165"/>
      <c r="G50" s="152"/>
      <c r="H50" s="152"/>
      <c r="I50" s="152"/>
      <c r="J50" s="152"/>
      <c r="K50" s="199"/>
    </row>
    <row r="51" spans="1:11" x14ac:dyDescent="0.2">
      <c r="A51" s="196"/>
      <c r="B51" s="152"/>
      <c r="C51" s="152"/>
      <c r="D51" s="152"/>
      <c r="E51" s="152"/>
      <c r="F51" s="152"/>
      <c r="G51" s="152"/>
      <c r="H51" s="152"/>
      <c r="I51" s="152"/>
      <c r="J51" s="152"/>
      <c r="K51" s="199"/>
    </row>
    <row r="52" spans="1:11" x14ac:dyDescent="0.2">
      <c r="A52" s="196"/>
      <c r="B52" s="152"/>
      <c r="C52" s="152"/>
      <c r="D52" s="152"/>
      <c r="E52" s="152"/>
      <c r="F52" s="152"/>
      <c r="G52" s="152"/>
      <c r="H52" s="152"/>
      <c r="I52" s="152"/>
      <c r="J52" s="152"/>
      <c r="K52" s="199"/>
    </row>
    <row r="53" spans="1:11" x14ac:dyDescent="0.2">
      <c r="A53" s="196"/>
      <c r="B53" s="165"/>
      <c r="C53" s="165"/>
      <c r="D53" s="165"/>
      <c r="E53" s="152"/>
      <c r="F53" s="165"/>
      <c r="G53" s="165"/>
      <c r="H53" s="165"/>
      <c r="I53" s="152"/>
      <c r="J53" s="152"/>
      <c r="K53" s="199"/>
    </row>
    <row r="54" spans="1:11" ht="35.25" customHeight="1" x14ac:dyDescent="0.3">
      <c r="A54" s="198"/>
      <c r="B54" s="178" t="s">
        <v>774</v>
      </c>
      <c r="C54" s="179"/>
      <c r="D54" s="152"/>
      <c r="E54" s="180"/>
      <c r="F54" s="593" t="s">
        <v>775</v>
      </c>
      <c r="G54" s="594"/>
      <c r="H54" s="152"/>
      <c r="I54" s="153"/>
      <c r="J54" s="152"/>
      <c r="K54" s="199"/>
    </row>
    <row r="55" spans="1:11" ht="40.5" x14ac:dyDescent="0.2">
      <c r="A55" s="196"/>
      <c r="B55" s="181" t="s">
        <v>776</v>
      </c>
      <c r="C55" s="181" t="s">
        <v>777</v>
      </c>
      <c r="D55" s="152"/>
      <c r="E55" s="152"/>
      <c r="F55" s="182" t="s">
        <v>778</v>
      </c>
      <c r="G55" s="182" t="s">
        <v>777</v>
      </c>
      <c r="H55" s="152"/>
      <c r="I55" s="152"/>
      <c r="J55" s="152"/>
      <c r="K55" s="199"/>
    </row>
    <row r="56" spans="1:11" ht="20.25" x14ac:dyDescent="0.3">
      <c r="A56" s="196"/>
      <c r="B56" s="183" t="s">
        <v>779</v>
      </c>
      <c r="C56" s="184">
        <f>COUNTIF(Methodologies!$AC:$AC, "&lt;3")</f>
        <v>58</v>
      </c>
      <c r="D56" s="152"/>
      <c r="E56" s="152"/>
      <c r="F56" s="183" t="s">
        <v>780</v>
      </c>
      <c r="G56" s="184">
        <f>COUNTIF(Methodologies!$P:$P, "&lt;=30")</f>
        <v>17</v>
      </c>
      <c r="H56" s="152"/>
      <c r="I56" s="152"/>
      <c r="J56" s="152"/>
      <c r="K56" s="199"/>
    </row>
    <row r="57" spans="1:11" ht="20.25" x14ac:dyDescent="0.3">
      <c r="A57" s="196"/>
      <c r="B57" s="183" t="s">
        <v>781</v>
      </c>
      <c r="C57" s="184">
        <f>COUNTIFS(Methodologies!$AC:$AC, "&gt;=3", Methodologies!$AC:$AC, "&lt;5")</f>
        <v>17</v>
      </c>
      <c r="D57" s="152"/>
      <c r="E57" s="152"/>
      <c r="F57" s="183" t="s">
        <v>782</v>
      </c>
      <c r="G57" s="184">
        <f>COUNTIFS(Methodologies!$P:$P, "&gt;30", Methodologies!$P:$P, "&lt;=180")</f>
        <v>47</v>
      </c>
      <c r="H57" s="152"/>
      <c r="I57" s="152"/>
      <c r="J57" s="152"/>
      <c r="K57" s="199"/>
    </row>
    <row r="58" spans="1:11" ht="20.25" x14ac:dyDescent="0.3">
      <c r="A58" s="196"/>
      <c r="B58" s="183" t="s">
        <v>783</v>
      </c>
      <c r="C58" s="184">
        <f>COUNTIF(Methodologies!$AC:$AC, "&gt;5")</f>
        <v>6</v>
      </c>
      <c r="D58" s="152"/>
      <c r="E58" s="152"/>
      <c r="F58" s="183" t="s">
        <v>784</v>
      </c>
      <c r="G58" s="184">
        <f>COUNTIF(Methodologies!$P:$P, "&gt;180")</f>
        <v>17</v>
      </c>
      <c r="H58" s="152"/>
      <c r="I58" s="152"/>
      <c r="J58" s="152"/>
      <c r="K58" s="199"/>
    </row>
    <row r="59" spans="1:11" ht="20.25" x14ac:dyDescent="0.3">
      <c r="A59" s="196"/>
      <c r="B59" s="183" t="s">
        <v>785</v>
      </c>
      <c r="C59" s="185">
        <f>AVERAGE(Methodologies!AA5:AA85)</f>
        <v>4.5925925925925926</v>
      </c>
      <c r="D59" s="152"/>
      <c r="E59" s="152"/>
      <c r="F59" s="183" t="s">
        <v>785</v>
      </c>
      <c r="G59" s="186">
        <f>AVERAGE(Methodologies!$P:$P)</f>
        <v>115.91250000000001</v>
      </c>
      <c r="H59" s="152"/>
      <c r="I59" s="152"/>
      <c r="J59" s="152"/>
      <c r="K59" s="199"/>
    </row>
    <row r="60" spans="1:11" x14ac:dyDescent="0.2">
      <c r="A60" s="196"/>
      <c r="B60" s="152"/>
      <c r="C60" s="152"/>
      <c r="D60" s="152"/>
      <c r="E60" s="152"/>
      <c r="F60" s="152"/>
      <c r="G60" s="152"/>
      <c r="H60" s="152"/>
      <c r="I60" s="152"/>
      <c r="J60" s="152"/>
      <c r="K60" s="199"/>
    </row>
    <row r="61" spans="1:11" x14ac:dyDescent="0.2">
      <c r="A61" s="196"/>
      <c r="B61" s="172" t="s">
        <v>786</v>
      </c>
      <c r="C61" s="187"/>
      <c r="D61" s="188"/>
      <c r="E61" s="152"/>
      <c r="F61" s="172" t="s">
        <v>787</v>
      </c>
      <c r="G61" s="189"/>
      <c r="H61" s="190"/>
      <c r="I61" s="152"/>
      <c r="J61" s="152"/>
      <c r="K61" s="199"/>
    </row>
    <row r="62" spans="1:11" x14ac:dyDescent="0.2">
      <c r="A62" s="196"/>
      <c r="B62" s="177"/>
      <c r="C62" s="177"/>
      <c r="D62" s="177"/>
      <c r="E62" s="152"/>
      <c r="F62" s="177"/>
      <c r="G62" s="177"/>
      <c r="H62" s="177"/>
      <c r="I62" s="152"/>
      <c r="J62" s="152"/>
      <c r="K62" s="199"/>
    </row>
    <row r="63" spans="1:11" x14ac:dyDescent="0.2">
      <c r="A63" s="196"/>
      <c r="B63" s="152"/>
      <c r="C63" s="152"/>
      <c r="D63" s="152"/>
      <c r="E63" s="152"/>
      <c r="F63" s="152"/>
      <c r="G63" s="152"/>
      <c r="H63" s="152"/>
      <c r="I63" s="152"/>
      <c r="J63" s="152"/>
      <c r="K63" s="199"/>
    </row>
    <row r="64" spans="1:11" x14ac:dyDescent="0.2">
      <c r="A64" s="196"/>
      <c r="B64" s="152"/>
      <c r="C64" s="152"/>
      <c r="D64" s="152"/>
      <c r="E64" s="152"/>
      <c r="F64" s="152"/>
      <c r="G64" s="152"/>
      <c r="H64" s="152"/>
      <c r="I64" s="152"/>
      <c r="J64" s="152"/>
      <c r="K64" s="199"/>
    </row>
    <row r="65" spans="1:11" x14ac:dyDescent="0.2">
      <c r="A65" s="196"/>
      <c r="B65" s="152"/>
      <c r="C65" s="152"/>
      <c r="D65" s="152"/>
      <c r="E65" s="152"/>
      <c r="F65" s="152"/>
      <c r="G65" s="152"/>
      <c r="H65" s="152"/>
      <c r="I65" s="152"/>
      <c r="J65" s="152"/>
      <c r="K65" s="199"/>
    </row>
    <row r="66" spans="1:11" x14ac:dyDescent="0.2">
      <c r="A66" s="196"/>
      <c r="B66" s="152"/>
      <c r="C66" s="152"/>
      <c r="D66" s="152"/>
      <c r="E66" s="152"/>
      <c r="F66" s="152"/>
      <c r="G66" s="152"/>
      <c r="H66" s="152"/>
      <c r="I66" s="152"/>
      <c r="J66" s="152"/>
      <c r="K66" s="199"/>
    </row>
    <row r="67" spans="1:11" x14ac:dyDescent="0.2">
      <c r="A67" s="196"/>
      <c r="B67" s="152"/>
      <c r="C67" s="152"/>
      <c r="D67" s="152"/>
      <c r="E67" s="152"/>
      <c r="F67" s="152"/>
      <c r="G67" s="152"/>
      <c r="H67" s="152"/>
      <c r="I67" s="152"/>
      <c r="J67" s="152"/>
      <c r="K67" s="199"/>
    </row>
    <row r="68" spans="1:11" x14ac:dyDescent="0.2">
      <c r="A68" s="196"/>
      <c r="B68" s="152"/>
      <c r="C68" s="152"/>
      <c r="D68" s="152"/>
      <c r="E68" s="152"/>
      <c r="F68" s="152"/>
      <c r="G68" s="152"/>
      <c r="H68" s="152"/>
      <c r="I68" s="152"/>
      <c r="J68" s="152"/>
      <c r="K68" s="199"/>
    </row>
    <row r="69" spans="1:11" x14ac:dyDescent="0.2">
      <c r="A69" s="196"/>
      <c r="B69" s="152"/>
      <c r="C69" s="152"/>
      <c r="D69" s="152"/>
      <c r="E69" s="152"/>
      <c r="F69" s="152"/>
      <c r="G69" s="152"/>
      <c r="H69" s="152"/>
      <c r="I69" s="152"/>
      <c r="J69" s="152"/>
      <c r="K69" s="199"/>
    </row>
    <row r="70" spans="1:11" x14ac:dyDescent="0.2">
      <c r="A70" s="196"/>
      <c r="B70" s="152"/>
      <c r="C70" s="152"/>
      <c r="D70" s="152"/>
      <c r="E70" s="152"/>
      <c r="F70" s="152"/>
      <c r="G70" s="152"/>
      <c r="H70" s="152"/>
      <c r="I70" s="152"/>
      <c r="J70" s="152"/>
      <c r="K70" s="199"/>
    </row>
    <row r="71" spans="1:11" x14ac:dyDescent="0.2">
      <c r="A71" s="196"/>
      <c r="B71" s="152"/>
      <c r="C71" s="152"/>
      <c r="D71" s="152"/>
      <c r="E71" s="152"/>
      <c r="F71" s="152"/>
      <c r="G71" s="152"/>
      <c r="H71" s="152"/>
      <c r="I71" s="152"/>
      <c r="J71" s="152"/>
      <c r="K71" s="199"/>
    </row>
    <row r="72" spans="1:11" x14ac:dyDescent="0.2">
      <c r="A72" s="196"/>
      <c r="B72" s="152"/>
      <c r="C72" s="152"/>
      <c r="D72" s="152"/>
      <c r="E72" s="152"/>
      <c r="F72" s="152"/>
      <c r="G72" s="152"/>
      <c r="H72" s="152"/>
      <c r="I72" s="152"/>
      <c r="J72" s="152"/>
      <c r="K72" s="199"/>
    </row>
    <row r="73" spans="1:11" x14ac:dyDescent="0.2">
      <c r="A73" s="196"/>
      <c r="B73" s="152"/>
      <c r="C73" s="152"/>
      <c r="D73" s="152"/>
      <c r="E73" s="152"/>
      <c r="F73" s="152"/>
      <c r="G73" s="152"/>
      <c r="H73" s="152"/>
      <c r="I73" s="152"/>
      <c r="J73" s="152"/>
      <c r="K73" s="199"/>
    </row>
    <row r="74" spans="1:11" x14ac:dyDescent="0.2">
      <c r="A74" s="196"/>
      <c r="B74" s="152"/>
      <c r="C74" s="152"/>
      <c r="D74" s="152"/>
      <c r="E74" s="152"/>
      <c r="F74" s="152"/>
      <c r="G74" s="152"/>
      <c r="H74" s="152"/>
      <c r="I74" s="152"/>
      <c r="J74" s="152"/>
      <c r="K74" s="199"/>
    </row>
    <row r="75" spans="1:11" x14ac:dyDescent="0.2">
      <c r="A75" s="196"/>
      <c r="B75" s="152"/>
      <c r="C75" s="152"/>
      <c r="D75" s="152"/>
      <c r="E75" s="152"/>
      <c r="F75" s="152"/>
      <c r="G75" s="152"/>
      <c r="H75" s="152"/>
      <c r="I75" s="152"/>
      <c r="J75" s="152"/>
      <c r="K75" s="199"/>
    </row>
    <row r="76" spans="1:11" x14ac:dyDescent="0.2">
      <c r="A76" s="196"/>
      <c r="B76" s="152"/>
      <c r="C76" s="152"/>
      <c r="D76" s="152"/>
      <c r="E76" s="152"/>
      <c r="F76" s="152"/>
      <c r="G76" s="152"/>
      <c r="H76" s="152"/>
      <c r="I76" s="152"/>
      <c r="J76" s="152"/>
      <c r="K76" s="199"/>
    </row>
    <row r="77" spans="1:11" x14ac:dyDescent="0.2">
      <c r="A77" s="198"/>
      <c r="B77" s="152"/>
      <c r="C77" s="152"/>
      <c r="D77" s="152"/>
      <c r="E77" s="154"/>
      <c r="F77" s="152"/>
      <c r="G77" s="152"/>
      <c r="H77" s="152"/>
      <c r="I77" s="152"/>
      <c r="J77" s="152"/>
      <c r="K77" s="199"/>
    </row>
    <row r="78" spans="1:11" x14ac:dyDescent="0.2">
      <c r="A78" s="198"/>
      <c r="B78" s="152"/>
      <c r="C78" s="152"/>
      <c r="D78" s="152"/>
      <c r="E78" s="154"/>
      <c r="F78" s="152"/>
      <c r="G78" s="152"/>
      <c r="H78" s="152"/>
      <c r="I78" s="152"/>
      <c r="J78" s="152"/>
      <c r="K78" s="199"/>
    </row>
    <row r="79" spans="1:11" x14ac:dyDescent="0.2">
      <c r="A79" s="198"/>
      <c r="B79" s="152"/>
      <c r="C79" s="152"/>
      <c r="D79" s="152"/>
      <c r="E79" s="154"/>
      <c r="F79" s="152"/>
      <c r="G79" s="152"/>
      <c r="H79" s="152"/>
      <c r="I79" s="152"/>
      <c r="J79" s="152"/>
      <c r="K79" s="199"/>
    </row>
    <row r="80" spans="1:11" x14ac:dyDescent="0.2">
      <c r="A80" s="198"/>
      <c r="B80" s="152"/>
      <c r="C80" s="152"/>
      <c r="D80" s="152"/>
      <c r="E80" s="154"/>
      <c r="F80" s="152"/>
      <c r="G80" s="152"/>
      <c r="H80" s="152"/>
      <c r="I80" s="152"/>
      <c r="J80" s="152"/>
      <c r="K80" s="199"/>
    </row>
    <row r="81" spans="1:11" x14ac:dyDescent="0.2">
      <c r="A81" s="198"/>
      <c r="B81" s="152"/>
      <c r="C81" s="152"/>
      <c r="D81" s="152"/>
      <c r="E81" s="154"/>
      <c r="F81" s="152"/>
      <c r="G81" s="152"/>
      <c r="H81" s="152"/>
      <c r="I81" s="152"/>
      <c r="J81" s="152"/>
      <c r="K81" s="199"/>
    </row>
    <row r="82" spans="1:11" x14ac:dyDescent="0.2">
      <c r="A82" s="202"/>
      <c r="B82" s="203"/>
      <c r="C82" s="203"/>
      <c r="D82" s="204"/>
      <c r="E82" s="205"/>
      <c r="F82" s="203"/>
      <c r="G82" s="203"/>
      <c r="H82" s="203"/>
      <c r="I82" s="203"/>
      <c r="J82" s="203"/>
      <c r="K82" s="206"/>
    </row>
    <row r="83" spans="1:11" x14ac:dyDescent="0.2">
      <c r="A83" s="164"/>
      <c r="B83" s="164"/>
      <c r="C83" s="164"/>
      <c r="D83" s="164"/>
      <c r="E83" s="164"/>
      <c r="F83" s="164"/>
      <c r="G83" s="164"/>
      <c r="H83" s="164"/>
      <c r="I83" s="164"/>
      <c r="J83" s="164"/>
      <c r="K83" s="164"/>
    </row>
  </sheetData>
  <mergeCells count="1">
    <mergeCell ref="F54:G54"/>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BS69"/>
  <sheetViews>
    <sheetView showGridLines="0" topLeftCell="B1" zoomScale="55" zoomScaleNormal="55" workbookViewId="0">
      <pane xSplit="1" ySplit="4" topLeftCell="C5" activePane="bottomRight" state="frozen"/>
      <selection activeCell="B1" sqref="B1"/>
      <selection pane="topRight" activeCell="C1" sqref="C1"/>
      <selection pane="bottomLeft" activeCell="B5" sqref="B5"/>
      <selection pane="bottomRight" activeCell="B1" sqref="B1"/>
    </sheetView>
  </sheetViews>
  <sheetFormatPr defaultRowHeight="18.75" x14ac:dyDescent="0.4"/>
  <cols>
    <col min="1" max="1" width="0" hidden="1" customWidth="1"/>
    <col min="2" max="2" width="12.5" customWidth="1"/>
    <col min="3" max="3" width="8.625" customWidth="1"/>
    <col min="4" max="4" width="34.625" customWidth="1"/>
    <col min="5" max="5" width="13.875" customWidth="1"/>
    <col min="6" max="7" width="15.625" customWidth="1"/>
    <col min="8" max="10" width="15.75" customWidth="1"/>
    <col min="11" max="11" width="24" customWidth="1"/>
    <col min="12" max="12" width="15.75" customWidth="1"/>
    <col min="13" max="13" width="15.75" hidden="1" customWidth="1"/>
    <col min="14" max="17" width="15.625" customWidth="1"/>
    <col min="18" max="19" width="15.75" customWidth="1"/>
    <col min="20" max="20" width="8.125" bestFit="1" customWidth="1"/>
    <col min="21" max="21" width="9.875" customWidth="1"/>
    <col min="22" max="22" width="16.375" hidden="1" customWidth="1"/>
    <col min="23" max="23" width="23.125" customWidth="1"/>
    <col min="24" max="24" width="13.625" customWidth="1"/>
    <col min="25" max="25" width="13.5" customWidth="1"/>
    <col min="26" max="26" width="12.875" customWidth="1"/>
    <col min="27" max="27" width="14.125" customWidth="1"/>
    <col min="28" max="28" width="17.375" customWidth="1"/>
    <col min="29" max="29" width="14.625" customWidth="1"/>
    <col min="30" max="30" width="15" customWidth="1"/>
    <col min="31" max="31" width="15.875" hidden="1" customWidth="1"/>
    <col min="32" max="32" width="14.5" customWidth="1"/>
    <col min="33" max="33" width="15" hidden="1" customWidth="1"/>
    <col min="34" max="35" width="14.375" customWidth="1"/>
    <col min="36" max="36" width="14.875" customWidth="1"/>
    <col min="37" max="37" width="13.5" customWidth="1"/>
    <col min="38" max="55" width="10.875" customWidth="1"/>
    <col min="56" max="56" width="11.5" customWidth="1"/>
    <col min="57" max="57" width="15.125" bestFit="1" customWidth="1"/>
    <col min="58" max="59" width="14.375" style="512" customWidth="1"/>
    <col min="60" max="60" width="12.5" style="524" customWidth="1"/>
    <col min="61" max="61" width="12.5" style="512" customWidth="1"/>
    <col min="62" max="62" width="18.75" style="524" bestFit="1" customWidth="1"/>
    <col min="63" max="63" width="24.25" customWidth="1"/>
    <col min="64" max="65" width="14.375" style="512" customWidth="1"/>
    <col min="66" max="66" width="12.5" style="524" customWidth="1"/>
    <col min="67" max="67" width="12.5" style="512" customWidth="1"/>
    <col min="68" max="68" width="18.75" style="524" bestFit="1" customWidth="1"/>
    <col min="69" max="69" width="24.25" customWidth="1"/>
    <col min="70" max="70" width="16.875" hidden="1" customWidth="1"/>
    <col min="71" max="71" width="23.375" hidden="1" customWidth="1"/>
  </cols>
  <sheetData>
    <row r="1" spans="1:71" ht="30.75" x14ac:dyDescent="0.4">
      <c r="A1" s="455"/>
      <c r="B1" s="456" t="s">
        <v>788</v>
      </c>
      <c r="C1" s="457"/>
      <c r="D1" s="457"/>
      <c r="E1" s="457"/>
      <c r="F1" s="457"/>
      <c r="G1" s="457"/>
      <c r="H1" s="457"/>
      <c r="I1" s="457"/>
      <c r="J1" s="457"/>
      <c r="K1" s="457"/>
      <c r="L1" s="457"/>
      <c r="M1" s="457"/>
      <c r="N1" s="457"/>
      <c r="O1" s="457"/>
      <c r="P1" s="457"/>
      <c r="Q1" s="458"/>
      <c r="R1" s="459"/>
      <c r="S1" s="458"/>
      <c r="T1" s="458"/>
      <c r="U1" s="458"/>
      <c r="V1" s="460"/>
      <c r="W1" s="461"/>
      <c r="X1" s="462"/>
      <c r="Y1" s="463"/>
      <c r="Z1" s="464"/>
      <c r="AA1" s="465"/>
      <c r="AB1" s="461"/>
      <c r="AC1" s="462"/>
      <c r="AD1" s="465"/>
      <c r="AE1" s="466"/>
      <c r="AF1" s="465"/>
      <c r="AG1" s="461"/>
      <c r="AH1" s="467"/>
      <c r="AI1" s="467"/>
      <c r="AJ1" s="467"/>
      <c r="AK1" s="467"/>
      <c r="AL1" s="468"/>
      <c r="AM1" s="468"/>
      <c r="AN1" s="468"/>
      <c r="AO1" s="468"/>
      <c r="AP1" s="468"/>
      <c r="AQ1" s="468"/>
      <c r="AR1" s="468"/>
      <c r="AS1" s="468"/>
      <c r="AT1" s="468"/>
      <c r="AU1" s="468"/>
      <c r="AV1" s="468"/>
      <c r="AW1" s="468"/>
      <c r="AX1" s="468"/>
      <c r="AY1" s="468"/>
      <c r="AZ1" s="468"/>
      <c r="BA1" s="468"/>
      <c r="BB1" s="468"/>
      <c r="BC1" s="468"/>
      <c r="BD1" s="468"/>
      <c r="BE1" s="468"/>
      <c r="BF1" s="462"/>
      <c r="BG1" s="462"/>
      <c r="BH1" s="520"/>
      <c r="BI1" s="469"/>
      <c r="BJ1" s="520"/>
      <c r="BK1" s="470"/>
      <c r="BL1" s="462"/>
      <c r="BM1" s="462"/>
      <c r="BN1" s="520"/>
      <c r="BO1" s="469"/>
      <c r="BP1" s="520"/>
      <c r="BQ1" s="470"/>
      <c r="BR1" s="207"/>
      <c r="BS1" s="207"/>
    </row>
    <row r="2" spans="1:71" ht="25.5" x14ac:dyDescent="0.4">
      <c r="A2" s="471"/>
      <c r="B2" s="208" t="s">
        <v>789</v>
      </c>
      <c r="C2" s="472"/>
      <c r="D2" s="472"/>
      <c r="E2" s="472"/>
      <c r="F2" s="472"/>
      <c r="G2" s="472"/>
      <c r="H2" s="472"/>
      <c r="I2" s="472"/>
      <c r="J2" s="472"/>
      <c r="K2" s="472"/>
      <c r="L2" s="472"/>
      <c r="M2" s="472"/>
      <c r="N2" s="472"/>
      <c r="O2" s="472"/>
      <c r="P2" s="472"/>
      <c r="Q2" s="473"/>
      <c r="R2" s="474"/>
      <c r="S2" s="473"/>
      <c r="T2" s="473"/>
      <c r="U2" s="473"/>
      <c r="V2" s="475"/>
      <c r="W2" s="476"/>
      <c r="X2" s="477"/>
      <c r="Y2" s="478"/>
      <c r="Z2" s="479"/>
      <c r="AA2" s="480"/>
      <c r="AB2" s="476"/>
      <c r="AC2" s="477"/>
      <c r="AD2" s="480"/>
      <c r="AE2" s="475"/>
      <c r="AF2" s="480"/>
      <c r="AG2" s="476"/>
      <c r="AH2" s="481"/>
      <c r="AI2" s="481"/>
      <c r="AJ2" s="481"/>
      <c r="AK2" s="481"/>
      <c r="AL2" s="482"/>
      <c r="AM2" s="482"/>
      <c r="AN2" s="482"/>
      <c r="AO2" s="482"/>
      <c r="AP2" s="482"/>
      <c r="AQ2" s="482"/>
      <c r="AR2" s="482"/>
      <c r="AS2" s="482"/>
      <c r="AT2" s="482"/>
      <c r="AU2" s="482"/>
      <c r="AV2" s="482"/>
      <c r="AW2" s="482"/>
      <c r="AX2" s="482"/>
      <c r="AY2" s="482"/>
      <c r="AZ2" s="482"/>
      <c r="BA2" s="482"/>
      <c r="BB2" s="482"/>
      <c r="BC2" s="482"/>
      <c r="BD2" s="482"/>
      <c r="BE2" s="482"/>
      <c r="BF2" s="477"/>
      <c r="BG2" s="477"/>
      <c r="BH2" s="521"/>
      <c r="BI2" s="483"/>
      <c r="BJ2" s="521"/>
      <c r="BK2" s="484"/>
      <c r="BL2" s="477"/>
      <c r="BM2" s="477"/>
      <c r="BN2" s="521"/>
      <c r="BO2" s="483"/>
      <c r="BP2" s="521"/>
      <c r="BQ2" s="484"/>
      <c r="BR2" s="209"/>
      <c r="BS2" s="209"/>
    </row>
    <row r="3" spans="1:71" ht="25.5" x14ac:dyDescent="0.4">
      <c r="A3" s="485"/>
      <c r="B3" s="210"/>
      <c r="C3" s="210"/>
      <c r="D3" s="210"/>
      <c r="E3" s="210"/>
      <c r="F3" s="211"/>
      <c r="G3" s="212"/>
      <c r="H3" s="212"/>
      <c r="I3" s="212"/>
      <c r="J3" s="212"/>
      <c r="K3" s="213" t="s">
        <v>790</v>
      </c>
      <c r="L3" s="212"/>
      <c r="M3" s="212"/>
      <c r="N3" s="212"/>
      <c r="O3" s="214"/>
      <c r="P3" s="215" t="s">
        <v>791</v>
      </c>
      <c r="Q3" s="214"/>
      <c r="R3" s="210"/>
      <c r="S3" s="210"/>
      <c r="T3" s="210"/>
      <c r="U3" s="215"/>
      <c r="V3" s="216"/>
      <c r="W3" s="217" t="s">
        <v>792</v>
      </c>
      <c r="X3" s="218"/>
      <c r="Y3" s="219" t="s">
        <v>793</v>
      </c>
      <c r="Z3" s="220"/>
      <c r="AA3" s="595" t="s">
        <v>794</v>
      </c>
      <c r="AB3" s="595"/>
      <c r="AC3" s="595" t="s">
        <v>74</v>
      </c>
      <c r="AD3" s="595"/>
      <c r="AE3" s="595"/>
      <c r="AF3" s="595"/>
      <c r="AG3" s="221"/>
      <c r="AH3" s="596" t="s">
        <v>795</v>
      </c>
      <c r="AI3" s="596"/>
      <c r="AJ3" s="596"/>
      <c r="AK3" s="596"/>
      <c r="AL3" s="218"/>
      <c r="AM3" s="219"/>
      <c r="AN3" s="219"/>
      <c r="AO3" s="219"/>
      <c r="AP3" s="219"/>
      <c r="AQ3" s="219"/>
      <c r="AR3" s="219"/>
      <c r="AS3" s="219"/>
      <c r="AT3" s="219"/>
      <c r="AU3" s="219" t="s">
        <v>796</v>
      </c>
      <c r="AV3" s="219"/>
      <c r="AW3" s="219"/>
      <c r="AX3" s="219"/>
      <c r="AY3" s="219"/>
      <c r="AZ3" s="219"/>
      <c r="BA3" s="219"/>
      <c r="BB3" s="219"/>
      <c r="BC3" s="219"/>
      <c r="BD3" s="219"/>
      <c r="BE3" s="220"/>
      <c r="BF3" s="222"/>
      <c r="BG3" s="223"/>
      <c r="BH3" s="522"/>
      <c r="BI3" s="223" t="s">
        <v>2282</v>
      </c>
      <c r="BJ3" s="522"/>
      <c r="BK3" s="486"/>
      <c r="BL3" s="222"/>
      <c r="BM3" s="223"/>
      <c r="BN3" s="522"/>
      <c r="BO3" s="223" t="s">
        <v>2283</v>
      </c>
      <c r="BP3" s="522"/>
      <c r="BQ3" s="486"/>
      <c r="BR3" s="224"/>
      <c r="BS3" s="224"/>
    </row>
    <row r="4" spans="1:71" ht="86.25" x14ac:dyDescent="0.4">
      <c r="A4" s="487" t="s">
        <v>1917</v>
      </c>
      <c r="B4" s="225" t="s">
        <v>797</v>
      </c>
      <c r="C4" s="225" t="s">
        <v>15</v>
      </c>
      <c r="D4" s="225" t="s">
        <v>107</v>
      </c>
      <c r="E4" s="226" t="s">
        <v>798</v>
      </c>
      <c r="F4" s="227" t="s">
        <v>799</v>
      </c>
      <c r="G4" s="227" t="s">
        <v>800</v>
      </c>
      <c r="H4" s="227" t="s">
        <v>801</v>
      </c>
      <c r="I4" s="227" t="s">
        <v>802</v>
      </c>
      <c r="J4" s="227" t="s">
        <v>803</v>
      </c>
      <c r="K4" s="227" t="s">
        <v>804</v>
      </c>
      <c r="L4" s="227" t="s">
        <v>805</v>
      </c>
      <c r="M4" s="228" t="s">
        <v>806</v>
      </c>
      <c r="N4" s="227" t="s">
        <v>807</v>
      </c>
      <c r="O4" s="227" t="s">
        <v>808</v>
      </c>
      <c r="P4" s="227" t="s">
        <v>809</v>
      </c>
      <c r="Q4" s="227" t="s">
        <v>1918</v>
      </c>
      <c r="R4" s="229" t="s">
        <v>46</v>
      </c>
      <c r="S4" s="225" t="s">
        <v>50</v>
      </c>
      <c r="T4" s="225" t="s">
        <v>810</v>
      </c>
      <c r="U4" s="230" t="s">
        <v>1919</v>
      </c>
      <c r="V4" s="231" t="s">
        <v>811</v>
      </c>
      <c r="W4" s="230" t="s">
        <v>812</v>
      </c>
      <c r="X4" s="232" t="s">
        <v>113</v>
      </c>
      <c r="Y4" s="230" t="s">
        <v>114</v>
      </c>
      <c r="Z4" s="230" t="s">
        <v>813</v>
      </c>
      <c r="AA4" s="230" t="s">
        <v>814</v>
      </c>
      <c r="AB4" s="230" t="s">
        <v>815</v>
      </c>
      <c r="AC4" s="232" t="s">
        <v>816</v>
      </c>
      <c r="AD4" s="230" t="s">
        <v>74</v>
      </c>
      <c r="AE4" s="231" t="s">
        <v>817</v>
      </c>
      <c r="AF4" s="233" t="s">
        <v>818</v>
      </c>
      <c r="AG4" s="231" t="s">
        <v>819</v>
      </c>
      <c r="AH4" s="230" t="s">
        <v>820</v>
      </c>
      <c r="AI4" s="230" t="s">
        <v>795</v>
      </c>
      <c r="AJ4" s="230" t="s">
        <v>821</v>
      </c>
      <c r="AK4" s="230" t="s">
        <v>822</v>
      </c>
      <c r="AL4" s="230">
        <v>2013</v>
      </c>
      <c r="AM4" s="230">
        <v>2014</v>
      </c>
      <c r="AN4" s="230">
        <v>2015</v>
      </c>
      <c r="AO4" s="230">
        <v>2016</v>
      </c>
      <c r="AP4" s="230">
        <v>2017</v>
      </c>
      <c r="AQ4" s="230">
        <v>2018</v>
      </c>
      <c r="AR4" s="230">
        <v>2019</v>
      </c>
      <c r="AS4" s="230">
        <v>2020</v>
      </c>
      <c r="AT4" s="230">
        <v>2021</v>
      </c>
      <c r="AU4" s="230">
        <v>2022</v>
      </c>
      <c r="AV4" s="230">
        <v>2023</v>
      </c>
      <c r="AW4" s="230">
        <v>2024</v>
      </c>
      <c r="AX4" s="230">
        <v>2025</v>
      </c>
      <c r="AY4" s="230">
        <v>2026</v>
      </c>
      <c r="AZ4" s="230">
        <v>2027</v>
      </c>
      <c r="BA4" s="230">
        <v>2028</v>
      </c>
      <c r="BB4" s="230">
        <v>2029</v>
      </c>
      <c r="BC4" s="230">
        <v>2030</v>
      </c>
      <c r="BD4" s="230" t="s">
        <v>823</v>
      </c>
      <c r="BE4" s="230" t="s">
        <v>824</v>
      </c>
      <c r="BF4" s="232" t="s">
        <v>825</v>
      </c>
      <c r="BG4" s="232" t="s">
        <v>826</v>
      </c>
      <c r="BH4" s="523" t="s">
        <v>827</v>
      </c>
      <c r="BI4" s="232" t="s">
        <v>828</v>
      </c>
      <c r="BJ4" s="523" t="s">
        <v>829</v>
      </c>
      <c r="BK4" s="232" t="s">
        <v>2368</v>
      </c>
      <c r="BL4" s="232" t="s">
        <v>825</v>
      </c>
      <c r="BM4" s="232" t="s">
        <v>826</v>
      </c>
      <c r="BN4" s="523" t="s">
        <v>827</v>
      </c>
      <c r="BO4" s="232" t="s">
        <v>828</v>
      </c>
      <c r="BP4" s="523" t="s">
        <v>829</v>
      </c>
      <c r="BQ4" s="232" t="s">
        <v>2368</v>
      </c>
      <c r="BR4" s="454" t="s">
        <v>830</v>
      </c>
      <c r="BS4" s="234" t="s">
        <v>831</v>
      </c>
    </row>
    <row r="5" spans="1:71" ht="86.25" x14ac:dyDescent="0.4">
      <c r="A5" s="488"/>
      <c r="B5" s="263" t="s">
        <v>159</v>
      </c>
      <c r="C5" s="263" t="s">
        <v>1920</v>
      </c>
      <c r="D5" s="263" t="s">
        <v>1921</v>
      </c>
      <c r="E5" s="263" t="s">
        <v>1922</v>
      </c>
      <c r="F5" s="438" t="s">
        <v>1923</v>
      </c>
      <c r="G5" s="438" t="s">
        <v>836</v>
      </c>
      <c r="H5" s="375" t="s">
        <v>404</v>
      </c>
      <c r="I5" s="438" t="s">
        <v>148</v>
      </c>
      <c r="J5" s="438" t="s">
        <v>1924</v>
      </c>
      <c r="K5" s="439" t="s">
        <v>1925</v>
      </c>
      <c r="L5" s="438" t="s">
        <v>1926</v>
      </c>
      <c r="M5" s="438" t="s">
        <v>146</v>
      </c>
      <c r="N5" s="375" t="s">
        <v>195</v>
      </c>
      <c r="O5" s="438" t="s">
        <v>172</v>
      </c>
      <c r="P5" s="438" t="s">
        <v>840</v>
      </c>
      <c r="Q5" s="378">
        <v>2015</v>
      </c>
      <c r="R5" s="272">
        <v>42795</v>
      </c>
      <c r="S5" s="240">
        <v>7</v>
      </c>
      <c r="T5" s="240" t="s">
        <v>841</v>
      </c>
      <c r="U5" s="240">
        <v>1</v>
      </c>
      <c r="V5" s="272">
        <v>42799</v>
      </c>
      <c r="W5" s="241" t="s">
        <v>1927</v>
      </c>
      <c r="X5" s="272">
        <v>42826</v>
      </c>
      <c r="Y5" s="272">
        <v>42855</v>
      </c>
      <c r="Z5" s="275" t="s">
        <v>152</v>
      </c>
      <c r="AA5" s="272">
        <v>42926</v>
      </c>
      <c r="AB5" s="263" t="s">
        <v>1928</v>
      </c>
      <c r="AC5" s="272">
        <v>42933</v>
      </c>
      <c r="AD5" s="272">
        <v>43110</v>
      </c>
      <c r="AE5" s="279">
        <f>AC5-AA5</f>
        <v>7</v>
      </c>
      <c r="AF5" s="279">
        <f t="shared" ref="AF5:AF40" si="0">AD5-AC5</f>
        <v>177</v>
      </c>
      <c r="AG5" s="263" t="s">
        <v>845</v>
      </c>
      <c r="AH5" s="257"/>
      <c r="AI5" s="257"/>
      <c r="AJ5" s="257"/>
      <c r="AK5" s="257"/>
      <c r="AL5" s="276" t="s">
        <v>845</v>
      </c>
      <c r="AM5" s="276" t="s">
        <v>845</v>
      </c>
      <c r="AN5" s="276" t="s">
        <v>845</v>
      </c>
      <c r="AO5" s="276" t="s">
        <v>845</v>
      </c>
      <c r="AP5" s="276">
        <v>208</v>
      </c>
      <c r="AQ5" s="276">
        <v>578</v>
      </c>
      <c r="AR5" s="276">
        <v>578</v>
      </c>
      <c r="AS5" s="276">
        <v>578</v>
      </c>
      <c r="AT5" s="276"/>
      <c r="AU5" s="276"/>
      <c r="AV5" s="276"/>
      <c r="AW5" s="276"/>
      <c r="AX5" s="276"/>
      <c r="AY5" s="276"/>
      <c r="AZ5" s="276"/>
      <c r="BA5" s="276"/>
      <c r="BB5" s="276"/>
      <c r="BC5" s="276"/>
      <c r="BD5" s="246">
        <f>BE5/COUNT(AL5:BC5)</f>
        <v>485.5</v>
      </c>
      <c r="BE5" s="246">
        <f>SUM(AL5:BC5)</f>
        <v>1942</v>
      </c>
      <c r="BF5" s="513"/>
      <c r="BG5" s="513"/>
      <c r="BH5" s="519"/>
      <c r="BI5" s="513"/>
      <c r="BJ5" s="519"/>
      <c r="BK5" s="514"/>
      <c r="BL5" s="513"/>
      <c r="BM5" s="513"/>
      <c r="BN5" s="519"/>
      <c r="BO5" s="513"/>
      <c r="BP5" s="519"/>
      <c r="BQ5" s="514"/>
      <c r="BR5" s="440"/>
      <c r="BS5" s="441"/>
    </row>
    <row r="6" spans="1:71" ht="86.25" x14ac:dyDescent="0.4">
      <c r="A6" s="488"/>
      <c r="B6" s="263" t="s">
        <v>1929</v>
      </c>
      <c r="C6" s="263" t="s">
        <v>1920</v>
      </c>
      <c r="D6" s="263" t="s">
        <v>1930</v>
      </c>
      <c r="E6" s="263" t="s">
        <v>145</v>
      </c>
      <c r="F6" s="263" t="s">
        <v>1931</v>
      </c>
      <c r="G6" s="263" t="s">
        <v>355</v>
      </c>
      <c r="H6" s="375" t="s">
        <v>404</v>
      </c>
      <c r="I6" s="263" t="s">
        <v>148</v>
      </c>
      <c r="J6" s="263" t="s">
        <v>1932</v>
      </c>
      <c r="K6" s="237" t="s">
        <v>1933</v>
      </c>
      <c r="L6" s="263" t="s">
        <v>1934</v>
      </c>
      <c r="M6" s="263" t="s">
        <v>146</v>
      </c>
      <c r="N6" s="269" t="s">
        <v>915</v>
      </c>
      <c r="O6" s="263" t="s">
        <v>172</v>
      </c>
      <c r="P6" s="235" t="s">
        <v>840</v>
      </c>
      <c r="Q6" s="240">
        <v>2015</v>
      </c>
      <c r="R6" s="272">
        <v>43275</v>
      </c>
      <c r="S6" s="240">
        <v>7</v>
      </c>
      <c r="T6" s="240" t="s">
        <v>841</v>
      </c>
      <c r="U6" s="240">
        <v>1</v>
      </c>
      <c r="V6" s="272">
        <v>43320</v>
      </c>
      <c r="W6" s="374" t="s">
        <v>1935</v>
      </c>
      <c r="X6" s="272">
        <v>43091</v>
      </c>
      <c r="Y6" s="272">
        <v>43269</v>
      </c>
      <c r="Z6" s="275" t="s">
        <v>152</v>
      </c>
      <c r="AA6" s="272">
        <v>43181</v>
      </c>
      <c r="AB6" s="263" t="s">
        <v>1936</v>
      </c>
      <c r="AC6" s="272">
        <v>43208</v>
      </c>
      <c r="AD6" s="272">
        <v>43559</v>
      </c>
      <c r="AE6" s="279">
        <f>AC6-AA6</f>
        <v>27</v>
      </c>
      <c r="AF6" s="279">
        <f t="shared" si="0"/>
        <v>351</v>
      </c>
      <c r="AG6" s="263"/>
      <c r="AH6" s="257"/>
      <c r="AI6" s="257"/>
      <c r="AJ6" s="257"/>
      <c r="AK6" s="257"/>
      <c r="AL6" s="276" t="s">
        <v>845</v>
      </c>
      <c r="AM6" s="276" t="s">
        <v>845</v>
      </c>
      <c r="AN6" s="276" t="s">
        <v>845</v>
      </c>
      <c r="AO6" s="276" t="s">
        <v>845</v>
      </c>
      <c r="AP6" s="276" t="s">
        <v>845</v>
      </c>
      <c r="AQ6" s="515">
        <v>218</v>
      </c>
      <c r="AR6" s="515">
        <v>437</v>
      </c>
      <c r="AS6" s="515">
        <v>437</v>
      </c>
      <c r="AT6" s="515">
        <v>437</v>
      </c>
      <c r="AU6" s="515">
        <v>437</v>
      </c>
      <c r="AV6" s="515">
        <v>437</v>
      </c>
      <c r="AW6" s="515">
        <v>437</v>
      </c>
      <c r="AX6" s="515">
        <v>218</v>
      </c>
      <c r="AY6" s="276"/>
      <c r="AZ6" s="276"/>
      <c r="BA6" s="276"/>
      <c r="BB6" s="276"/>
      <c r="BC6" s="276"/>
      <c r="BD6" s="246">
        <f t="shared" ref="BD6:BD63" si="1">BE6/COUNT(AL6:BC6)</f>
        <v>382.25</v>
      </c>
      <c r="BE6" s="246">
        <f t="shared" ref="BE6:BE63" si="2">SUM(AL6:BC6)</f>
        <v>3058</v>
      </c>
      <c r="BF6" s="513"/>
      <c r="BG6" s="513"/>
      <c r="BH6" s="519"/>
      <c r="BI6" s="513"/>
      <c r="BJ6" s="519"/>
      <c r="BK6" s="514"/>
      <c r="BL6" s="513"/>
      <c r="BM6" s="513"/>
      <c r="BN6" s="519"/>
      <c r="BO6" s="513"/>
      <c r="BP6" s="519"/>
      <c r="BQ6" s="514"/>
      <c r="BR6" s="440"/>
      <c r="BS6" s="441"/>
    </row>
    <row r="7" spans="1:71" ht="103.5" x14ac:dyDescent="0.4">
      <c r="A7" s="488"/>
      <c r="B7" s="263" t="s">
        <v>1937</v>
      </c>
      <c r="C7" s="263" t="s">
        <v>1938</v>
      </c>
      <c r="D7" s="263" t="s">
        <v>1604</v>
      </c>
      <c r="E7" s="263" t="s">
        <v>145</v>
      </c>
      <c r="F7" s="263" t="s">
        <v>1939</v>
      </c>
      <c r="G7" s="263" t="s">
        <v>1940</v>
      </c>
      <c r="H7" s="236" t="s">
        <v>413</v>
      </c>
      <c r="I7" s="235" t="s">
        <v>168</v>
      </c>
      <c r="J7" s="263" t="s">
        <v>1941</v>
      </c>
      <c r="K7" s="237" t="s">
        <v>1942</v>
      </c>
      <c r="L7" s="263" t="s">
        <v>1943</v>
      </c>
      <c r="M7" s="281" t="s">
        <v>412</v>
      </c>
      <c r="N7" s="236" t="s">
        <v>185</v>
      </c>
      <c r="O7" s="263" t="s">
        <v>172</v>
      </c>
      <c r="P7" s="235" t="s">
        <v>840</v>
      </c>
      <c r="Q7" s="240">
        <v>2015</v>
      </c>
      <c r="R7" s="272">
        <v>42522</v>
      </c>
      <c r="S7" s="240">
        <v>9</v>
      </c>
      <c r="T7" s="240" t="s">
        <v>841</v>
      </c>
      <c r="U7" s="240">
        <v>1</v>
      </c>
      <c r="V7" s="272">
        <v>42660</v>
      </c>
      <c r="W7" s="241" t="s">
        <v>1786</v>
      </c>
      <c r="X7" s="272">
        <v>43096</v>
      </c>
      <c r="Y7" s="272">
        <v>43276</v>
      </c>
      <c r="Z7" s="275" t="s">
        <v>418</v>
      </c>
      <c r="AA7" s="272">
        <v>43179</v>
      </c>
      <c r="AB7" s="263" t="s">
        <v>1944</v>
      </c>
      <c r="AC7" s="272">
        <v>43196</v>
      </c>
      <c r="AD7" s="272">
        <v>43559</v>
      </c>
      <c r="AE7" s="279">
        <f>AC7-AA7</f>
        <v>17</v>
      </c>
      <c r="AF7" s="279">
        <f t="shared" si="0"/>
        <v>363</v>
      </c>
      <c r="AG7" s="263"/>
      <c r="AH7" s="257"/>
      <c r="AI7" s="257"/>
      <c r="AJ7" s="257"/>
      <c r="AK7" s="257"/>
      <c r="AL7" s="276" t="s">
        <v>845</v>
      </c>
      <c r="AM7" s="276" t="s">
        <v>845</v>
      </c>
      <c r="AN7" s="276" t="s">
        <v>845</v>
      </c>
      <c r="AO7" s="276">
        <v>124</v>
      </c>
      <c r="AP7" s="276">
        <v>226</v>
      </c>
      <c r="AQ7" s="276">
        <v>226</v>
      </c>
      <c r="AR7" s="276">
        <v>226</v>
      </c>
      <c r="AS7" s="276">
        <v>226</v>
      </c>
      <c r="AT7" s="276">
        <v>226</v>
      </c>
      <c r="AU7" s="276">
        <v>226</v>
      </c>
      <c r="AV7" s="276">
        <v>226</v>
      </c>
      <c r="AW7" s="276">
        <v>226</v>
      </c>
      <c r="AX7" s="276">
        <v>102</v>
      </c>
      <c r="AY7" s="276"/>
      <c r="AZ7" s="276"/>
      <c r="BA7" s="276"/>
      <c r="BB7" s="276"/>
      <c r="BC7" s="276"/>
      <c r="BD7" s="246">
        <f t="shared" si="1"/>
        <v>203.4</v>
      </c>
      <c r="BE7" s="246">
        <f t="shared" si="2"/>
        <v>2034</v>
      </c>
      <c r="BF7" s="513"/>
      <c r="BG7" s="513"/>
      <c r="BH7" s="519"/>
      <c r="BI7" s="513"/>
      <c r="BJ7" s="519"/>
      <c r="BK7" s="514"/>
      <c r="BL7" s="513"/>
      <c r="BM7" s="513"/>
      <c r="BN7" s="519"/>
      <c r="BO7" s="513"/>
      <c r="BP7" s="519"/>
      <c r="BQ7" s="514"/>
      <c r="BR7" s="440"/>
      <c r="BS7" s="441"/>
    </row>
    <row r="8" spans="1:71" ht="103.5" x14ac:dyDescent="0.4">
      <c r="A8" s="488"/>
      <c r="B8" s="263" t="s">
        <v>2302</v>
      </c>
      <c r="C8" s="263" t="s">
        <v>1938</v>
      </c>
      <c r="D8" s="263" t="s">
        <v>1428</v>
      </c>
      <c r="E8" s="263" t="s">
        <v>2306</v>
      </c>
      <c r="F8" s="263" t="s">
        <v>2303</v>
      </c>
      <c r="G8" s="263" t="s">
        <v>2304</v>
      </c>
      <c r="H8" s="236" t="s">
        <v>413</v>
      </c>
      <c r="I8" s="235" t="s">
        <v>168</v>
      </c>
      <c r="J8" s="263" t="s">
        <v>2307</v>
      </c>
      <c r="K8" s="237" t="s">
        <v>2308</v>
      </c>
      <c r="L8" s="263" t="s">
        <v>2305</v>
      </c>
      <c r="M8" s="281"/>
      <c r="N8" s="236" t="s">
        <v>185</v>
      </c>
      <c r="O8" s="263" t="s">
        <v>172</v>
      </c>
      <c r="P8" s="235" t="s">
        <v>840</v>
      </c>
      <c r="Q8" s="274">
        <v>42548</v>
      </c>
      <c r="R8" s="272">
        <v>43040</v>
      </c>
      <c r="S8" s="240">
        <v>17</v>
      </c>
      <c r="T8" s="240" t="s">
        <v>894</v>
      </c>
      <c r="U8" s="240">
        <v>1</v>
      </c>
      <c r="V8" s="272"/>
      <c r="W8" s="374" t="s">
        <v>2309</v>
      </c>
      <c r="X8" s="272">
        <v>43341</v>
      </c>
      <c r="Y8" s="272">
        <v>43370</v>
      </c>
      <c r="Z8" s="275" t="s">
        <v>312</v>
      </c>
      <c r="AA8" s="272">
        <v>43613</v>
      </c>
      <c r="AB8" s="263" t="s">
        <v>2310</v>
      </c>
      <c r="AC8" s="272">
        <v>43620</v>
      </c>
      <c r="AD8" s="272">
        <v>43884</v>
      </c>
      <c r="AE8" s="279">
        <v>43884</v>
      </c>
      <c r="AF8" s="279">
        <f t="shared" si="0"/>
        <v>264</v>
      </c>
      <c r="AG8" s="263"/>
      <c r="AH8" s="257"/>
      <c r="AI8" s="257"/>
      <c r="AJ8" s="257"/>
      <c r="AK8" s="257"/>
      <c r="AL8" s="276" t="s">
        <v>845</v>
      </c>
      <c r="AM8" s="276" t="s">
        <v>845</v>
      </c>
      <c r="AN8" s="276" t="s">
        <v>845</v>
      </c>
      <c r="AO8" s="276" t="s">
        <v>845</v>
      </c>
      <c r="AP8" s="276">
        <v>374</v>
      </c>
      <c r="AQ8" s="276">
        <v>2245</v>
      </c>
      <c r="AR8" s="276">
        <v>2245</v>
      </c>
      <c r="AS8" s="276">
        <v>2245</v>
      </c>
      <c r="AT8" s="276">
        <v>2245</v>
      </c>
      <c r="AU8" s="276">
        <v>2245</v>
      </c>
      <c r="AV8" s="276">
        <v>2245</v>
      </c>
      <c r="AW8" s="276">
        <v>2245</v>
      </c>
      <c r="AX8" s="276">
        <v>2245</v>
      </c>
      <c r="AY8" s="276">
        <v>2245</v>
      </c>
      <c r="AZ8" s="276">
        <v>2245</v>
      </c>
      <c r="BA8" s="276">
        <v>2245</v>
      </c>
      <c r="BB8" s="276">
        <v>2245</v>
      </c>
      <c r="BC8" s="276">
        <v>2245</v>
      </c>
      <c r="BD8" s="246">
        <f t="shared" si="1"/>
        <v>2111.3571428571427</v>
      </c>
      <c r="BE8" s="246">
        <f t="shared" si="2"/>
        <v>29559</v>
      </c>
      <c r="BF8" s="513"/>
      <c r="BG8" s="513"/>
      <c r="BH8" s="519"/>
      <c r="BI8" s="513"/>
      <c r="BJ8" s="519"/>
      <c r="BK8" s="514"/>
      <c r="BL8" s="513"/>
      <c r="BM8" s="513"/>
      <c r="BN8" s="519"/>
      <c r="BO8" s="513"/>
      <c r="BP8" s="519"/>
      <c r="BQ8" s="514"/>
      <c r="BR8" s="440"/>
      <c r="BS8" s="441"/>
    </row>
    <row r="9" spans="1:71" ht="293.25" x14ac:dyDescent="0.4">
      <c r="A9" s="488"/>
      <c r="B9" s="263" t="s">
        <v>1945</v>
      </c>
      <c r="C9" s="263" t="s">
        <v>1920</v>
      </c>
      <c r="D9" s="263" t="s">
        <v>1946</v>
      </c>
      <c r="E9" s="263" t="s">
        <v>1911</v>
      </c>
      <c r="F9" s="263" t="s">
        <v>1947</v>
      </c>
      <c r="G9" s="263" t="s">
        <v>1948</v>
      </c>
      <c r="H9" s="236" t="s">
        <v>413</v>
      </c>
      <c r="I9" s="235" t="s">
        <v>168</v>
      </c>
      <c r="J9" s="263" t="s">
        <v>1949</v>
      </c>
      <c r="K9" s="269" t="s">
        <v>1950</v>
      </c>
      <c r="L9" s="263" t="s">
        <v>1951</v>
      </c>
      <c r="M9" s="281" t="s">
        <v>412</v>
      </c>
      <c r="N9" s="236" t="s">
        <v>185</v>
      </c>
      <c r="O9" s="263" t="s">
        <v>172</v>
      </c>
      <c r="P9" s="235" t="s">
        <v>840</v>
      </c>
      <c r="Q9" s="274">
        <v>42747</v>
      </c>
      <c r="R9" s="274">
        <v>43586</v>
      </c>
      <c r="S9" s="240">
        <v>17</v>
      </c>
      <c r="T9" s="240" t="s">
        <v>841</v>
      </c>
      <c r="U9" s="240">
        <v>1</v>
      </c>
      <c r="V9" s="272"/>
      <c r="W9" s="241" t="s">
        <v>1952</v>
      </c>
      <c r="X9" s="272">
        <v>43503</v>
      </c>
      <c r="Y9" s="272">
        <v>43532</v>
      </c>
      <c r="Z9" s="275" t="s">
        <v>418</v>
      </c>
      <c r="AA9" s="272">
        <v>43546</v>
      </c>
      <c r="AB9" s="263" t="s">
        <v>1953</v>
      </c>
      <c r="AC9" s="272">
        <v>43600</v>
      </c>
      <c r="AD9" s="272">
        <v>43746</v>
      </c>
      <c r="AE9" s="279">
        <v>43746</v>
      </c>
      <c r="AF9" s="279">
        <f t="shared" si="0"/>
        <v>146</v>
      </c>
      <c r="AG9" s="263"/>
      <c r="AH9" s="257"/>
      <c r="AI9" s="257"/>
      <c r="AJ9" s="257"/>
      <c r="AK9" s="257"/>
      <c r="AL9" s="276" t="s">
        <v>845</v>
      </c>
      <c r="AM9" s="276" t="s">
        <v>845</v>
      </c>
      <c r="AN9" s="276" t="s">
        <v>845</v>
      </c>
      <c r="AO9" s="276" t="s">
        <v>845</v>
      </c>
      <c r="AP9" s="276" t="s">
        <v>845</v>
      </c>
      <c r="AQ9" s="276" t="s">
        <v>845</v>
      </c>
      <c r="AR9" s="276">
        <v>319</v>
      </c>
      <c r="AS9" s="276">
        <v>517</v>
      </c>
      <c r="AT9" s="276">
        <v>517</v>
      </c>
      <c r="AU9" s="276">
        <v>517</v>
      </c>
      <c r="AV9" s="276">
        <v>517</v>
      </c>
      <c r="AW9" s="276">
        <v>517</v>
      </c>
      <c r="AX9" s="276">
        <v>517</v>
      </c>
      <c r="AY9" s="276">
        <v>517</v>
      </c>
      <c r="AZ9" s="276">
        <v>517</v>
      </c>
      <c r="BA9" s="276">
        <v>517</v>
      </c>
      <c r="BB9" s="276">
        <v>517</v>
      </c>
      <c r="BC9" s="246">
        <v>517</v>
      </c>
      <c r="BD9" s="246">
        <f t="shared" si="1"/>
        <v>500.5</v>
      </c>
      <c r="BE9" s="246">
        <f t="shared" si="2"/>
        <v>6006</v>
      </c>
      <c r="BF9" s="513"/>
      <c r="BG9" s="513"/>
      <c r="BH9" s="519"/>
      <c r="BI9" s="513"/>
      <c r="BJ9" s="519"/>
      <c r="BK9" s="514"/>
      <c r="BL9" s="513"/>
      <c r="BM9" s="513"/>
      <c r="BN9" s="519"/>
      <c r="BO9" s="513"/>
      <c r="BP9" s="519"/>
      <c r="BQ9" s="514"/>
      <c r="BR9" s="440"/>
      <c r="BS9" s="441"/>
    </row>
    <row r="10" spans="1:71" ht="57.75" customHeight="1" x14ac:dyDescent="0.4">
      <c r="A10" s="488"/>
      <c r="B10" s="235" t="s">
        <v>832</v>
      </c>
      <c r="C10" s="235" t="s">
        <v>833</v>
      </c>
      <c r="D10" s="235" t="s">
        <v>834</v>
      </c>
      <c r="E10" s="235" t="s">
        <v>403</v>
      </c>
      <c r="F10" s="235" t="s">
        <v>835</v>
      </c>
      <c r="G10" s="235" t="s">
        <v>836</v>
      </c>
      <c r="H10" s="375" t="s">
        <v>404</v>
      </c>
      <c r="I10" s="235" t="s">
        <v>148</v>
      </c>
      <c r="J10" s="235" t="s">
        <v>837</v>
      </c>
      <c r="K10" s="237" t="s">
        <v>838</v>
      </c>
      <c r="L10" s="235" t="s">
        <v>839</v>
      </c>
      <c r="M10" s="235" t="s">
        <v>146</v>
      </c>
      <c r="N10" s="236" t="s">
        <v>195</v>
      </c>
      <c r="O10" s="235" t="s">
        <v>337</v>
      </c>
      <c r="P10" s="235" t="s">
        <v>840</v>
      </c>
      <c r="Q10" s="238">
        <v>2013</v>
      </c>
      <c r="R10" s="239">
        <v>41699</v>
      </c>
      <c r="S10" s="238">
        <v>7</v>
      </c>
      <c r="T10" s="240" t="s">
        <v>841</v>
      </c>
      <c r="U10" s="240">
        <v>5</v>
      </c>
      <c r="V10" s="239" t="s">
        <v>842</v>
      </c>
      <c r="W10" s="241" t="s">
        <v>843</v>
      </c>
      <c r="X10" s="239">
        <v>41907</v>
      </c>
      <c r="Y10" s="239">
        <v>41936</v>
      </c>
      <c r="Z10" s="242" t="s">
        <v>152</v>
      </c>
      <c r="AA10" s="239">
        <v>41940</v>
      </c>
      <c r="AB10" s="235" t="s">
        <v>844</v>
      </c>
      <c r="AC10" s="239">
        <v>41940</v>
      </c>
      <c r="AD10" s="239">
        <v>41943</v>
      </c>
      <c r="AE10" s="243">
        <f t="shared" ref="AE10:AE68" si="3">AC10-AA10</f>
        <v>0</v>
      </c>
      <c r="AF10" s="243">
        <f t="shared" si="0"/>
        <v>3</v>
      </c>
      <c r="AG10" s="235" t="s">
        <v>845</v>
      </c>
      <c r="AH10" s="244"/>
      <c r="AI10" s="244"/>
      <c r="AJ10" s="244"/>
      <c r="AK10" s="244"/>
      <c r="AL10" s="276" t="s">
        <v>2313</v>
      </c>
      <c r="AM10" s="276">
        <v>97</v>
      </c>
      <c r="AN10" s="276">
        <v>117</v>
      </c>
      <c r="AO10" s="276">
        <v>117</v>
      </c>
      <c r="AP10" s="276">
        <v>117</v>
      </c>
      <c r="AQ10" s="276">
        <v>117</v>
      </c>
      <c r="AR10" s="276">
        <v>117</v>
      </c>
      <c r="AS10" s="276">
        <v>117</v>
      </c>
      <c r="AT10" s="276"/>
      <c r="AU10" s="276"/>
      <c r="AV10" s="276"/>
      <c r="AW10" s="276"/>
      <c r="AX10" s="276"/>
      <c r="AY10" s="276"/>
      <c r="AZ10" s="276"/>
      <c r="BA10" s="276"/>
      <c r="BB10" s="276"/>
      <c r="BC10" s="245"/>
      <c r="BD10" s="246">
        <f t="shared" si="1"/>
        <v>114.14285714285714</v>
      </c>
      <c r="BE10" s="247">
        <f t="shared" si="2"/>
        <v>799</v>
      </c>
      <c r="BF10" s="513">
        <v>43291</v>
      </c>
      <c r="BG10" s="513">
        <v>43291</v>
      </c>
      <c r="BH10" s="519">
        <v>49</v>
      </c>
      <c r="BI10" s="513">
        <v>43292</v>
      </c>
      <c r="BJ10" s="519">
        <v>73</v>
      </c>
      <c r="BK10" s="514" t="s">
        <v>2254</v>
      </c>
      <c r="BL10" s="513"/>
      <c r="BM10" s="513"/>
      <c r="BN10" s="519"/>
      <c r="BO10" s="513"/>
      <c r="BP10" s="519"/>
      <c r="BQ10" s="514"/>
      <c r="BR10" s="249">
        <v>42314</v>
      </c>
      <c r="BS10" s="250" t="s">
        <v>844</v>
      </c>
    </row>
    <row r="11" spans="1:71" ht="103.5" x14ac:dyDescent="0.4">
      <c r="A11" s="489"/>
      <c r="B11" s="235" t="s">
        <v>846</v>
      </c>
      <c r="C11" s="235" t="s">
        <v>833</v>
      </c>
      <c r="D11" s="235" t="s">
        <v>847</v>
      </c>
      <c r="E11" s="235" t="s">
        <v>403</v>
      </c>
      <c r="F11" s="235" t="s">
        <v>848</v>
      </c>
      <c r="G11" s="235" t="s">
        <v>849</v>
      </c>
      <c r="H11" s="375" t="s">
        <v>404</v>
      </c>
      <c r="I11" s="235" t="s">
        <v>148</v>
      </c>
      <c r="J11" s="235" t="s">
        <v>850</v>
      </c>
      <c r="K11" s="237" t="s">
        <v>851</v>
      </c>
      <c r="L11" s="235" t="s">
        <v>852</v>
      </c>
      <c r="M11" s="235" t="s">
        <v>146</v>
      </c>
      <c r="N11" s="236" t="s">
        <v>1954</v>
      </c>
      <c r="O11" s="235" t="s">
        <v>172</v>
      </c>
      <c r="P11" s="235" t="s">
        <v>840</v>
      </c>
      <c r="Q11" s="238">
        <v>2013</v>
      </c>
      <c r="R11" s="239">
        <v>41991</v>
      </c>
      <c r="S11" s="238">
        <v>12</v>
      </c>
      <c r="T11" s="240" t="s">
        <v>841</v>
      </c>
      <c r="U11" s="238">
        <v>1</v>
      </c>
      <c r="V11" s="239">
        <v>41981</v>
      </c>
      <c r="W11" s="241" t="s">
        <v>853</v>
      </c>
      <c r="X11" s="239">
        <v>42011</v>
      </c>
      <c r="Y11" s="239">
        <v>42040</v>
      </c>
      <c r="Z11" s="242">
        <v>2</v>
      </c>
      <c r="AA11" s="239">
        <v>42069</v>
      </c>
      <c r="AB11" s="235" t="s">
        <v>854</v>
      </c>
      <c r="AC11" s="239">
        <v>42069</v>
      </c>
      <c r="AD11" s="239">
        <v>42092</v>
      </c>
      <c r="AE11" s="243">
        <f t="shared" si="3"/>
        <v>0</v>
      </c>
      <c r="AF11" s="243">
        <f t="shared" si="0"/>
        <v>23</v>
      </c>
      <c r="AG11" s="235" t="s">
        <v>845</v>
      </c>
      <c r="AH11" s="244"/>
      <c r="AI11" s="244"/>
      <c r="AJ11" s="244"/>
      <c r="AK11" s="244"/>
      <c r="AL11" s="276" t="s">
        <v>2313</v>
      </c>
      <c r="AM11" s="276">
        <v>5</v>
      </c>
      <c r="AN11" s="276">
        <v>140</v>
      </c>
      <c r="AO11" s="276">
        <v>140</v>
      </c>
      <c r="AP11" s="276">
        <v>140</v>
      </c>
      <c r="AQ11" s="276">
        <v>140</v>
      </c>
      <c r="AR11" s="276">
        <v>140</v>
      </c>
      <c r="AS11" s="276">
        <v>140</v>
      </c>
      <c r="AT11" s="276"/>
      <c r="AU11" s="276"/>
      <c r="AV11" s="276"/>
      <c r="AW11" s="276"/>
      <c r="AX11" s="276"/>
      <c r="AY11" s="276"/>
      <c r="AZ11" s="276"/>
      <c r="BA11" s="276"/>
      <c r="BB11" s="276"/>
      <c r="BC11" s="245"/>
      <c r="BD11" s="246">
        <f t="shared" si="1"/>
        <v>120.71428571428571</v>
      </c>
      <c r="BE11" s="247">
        <f t="shared" si="2"/>
        <v>845</v>
      </c>
      <c r="BF11" s="513">
        <v>42502</v>
      </c>
      <c r="BG11" s="513">
        <v>42502</v>
      </c>
      <c r="BH11" s="519">
        <v>6</v>
      </c>
      <c r="BI11" s="513">
        <v>42502</v>
      </c>
      <c r="BJ11" s="519">
        <v>23</v>
      </c>
      <c r="BK11" s="514" t="s">
        <v>2255</v>
      </c>
      <c r="BL11" s="513"/>
      <c r="BM11" s="513"/>
      <c r="BN11" s="519"/>
      <c r="BO11" s="513"/>
      <c r="BP11" s="519"/>
      <c r="BQ11" s="514"/>
      <c r="BR11" s="249">
        <v>42310</v>
      </c>
      <c r="BS11" s="251" t="s">
        <v>854</v>
      </c>
    </row>
    <row r="12" spans="1:71" ht="86.25" x14ac:dyDescent="0.4">
      <c r="A12" s="489"/>
      <c r="B12" s="235" t="s">
        <v>855</v>
      </c>
      <c r="C12" s="235" t="s">
        <v>833</v>
      </c>
      <c r="D12" s="235" t="s">
        <v>856</v>
      </c>
      <c r="E12" s="235" t="s">
        <v>403</v>
      </c>
      <c r="F12" s="235" t="s">
        <v>848</v>
      </c>
      <c r="G12" s="235" t="s">
        <v>849</v>
      </c>
      <c r="H12" s="375" t="s">
        <v>404</v>
      </c>
      <c r="I12" s="235" t="s">
        <v>148</v>
      </c>
      <c r="J12" s="235" t="s">
        <v>857</v>
      </c>
      <c r="K12" s="237" t="s">
        <v>858</v>
      </c>
      <c r="L12" s="235" t="s">
        <v>852</v>
      </c>
      <c r="M12" s="235" t="s">
        <v>146</v>
      </c>
      <c r="N12" s="236" t="s">
        <v>1955</v>
      </c>
      <c r="O12" s="235" t="s">
        <v>337</v>
      </c>
      <c r="P12" s="235" t="s">
        <v>840</v>
      </c>
      <c r="Q12" s="238">
        <v>2013</v>
      </c>
      <c r="R12" s="239">
        <v>41991</v>
      </c>
      <c r="S12" s="238">
        <v>12</v>
      </c>
      <c r="T12" s="240" t="s">
        <v>841</v>
      </c>
      <c r="U12" s="238">
        <v>1</v>
      </c>
      <c r="V12" s="239">
        <v>41981</v>
      </c>
      <c r="W12" s="241" t="s">
        <v>853</v>
      </c>
      <c r="X12" s="239">
        <v>42011</v>
      </c>
      <c r="Y12" s="239">
        <v>42040</v>
      </c>
      <c r="Z12" s="242">
        <v>2</v>
      </c>
      <c r="AA12" s="239">
        <v>42069</v>
      </c>
      <c r="AB12" s="235" t="s">
        <v>854</v>
      </c>
      <c r="AC12" s="239">
        <v>42069</v>
      </c>
      <c r="AD12" s="239">
        <v>42092</v>
      </c>
      <c r="AE12" s="243">
        <f t="shared" si="3"/>
        <v>0</v>
      </c>
      <c r="AF12" s="243">
        <f t="shared" si="0"/>
        <v>23</v>
      </c>
      <c r="AG12" s="235" t="s">
        <v>845</v>
      </c>
      <c r="AH12" s="244"/>
      <c r="AI12" s="244"/>
      <c r="AJ12" s="244"/>
      <c r="AK12" s="244"/>
      <c r="AL12" s="276" t="s">
        <v>2313</v>
      </c>
      <c r="AM12" s="276">
        <v>1</v>
      </c>
      <c r="AN12" s="276">
        <v>25</v>
      </c>
      <c r="AO12" s="276">
        <v>25</v>
      </c>
      <c r="AP12" s="276">
        <v>25</v>
      </c>
      <c r="AQ12" s="276">
        <v>25</v>
      </c>
      <c r="AR12" s="276">
        <v>25</v>
      </c>
      <c r="AS12" s="276">
        <v>25</v>
      </c>
      <c r="AT12" s="276"/>
      <c r="AU12" s="276"/>
      <c r="AV12" s="276"/>
      <c r="AW12" s="276"/>
      <c r="AX12" s="276"/>
      <c r="AY12" s="276"/>
      <c r="AZ12" s="276"/>
      <c r="BA12" s="276"/>
      <c r="BB12" s="276"/>
      <c r="BC12" s="245"/>
      <c r="BD12" s="246">
        <f t="shared" si="1"/>
        <v>21.571428571428573</v>
      </c>
      <c r="BE12" s="247">
        <f t="shared" si="2"/>
        <v>151</v>
      </c>
      <c r="BF12" s="513">
        <v>42502</v>
      </c>
      <c r="BG12" s="513">
        <v>42502</v>
      </c>
      <c r="BH12" s="519">
        <v>3</v>
      </c>
      <c r="BI12" s="513">
        <v>42502</v>
      </c>
      <c r="BJ12" s="519">
        <v>8</v>
      </c>
      <c r="BK12" s="514" t="s">
        <v>2255</v>
      </c>
      <c r="BL12" s="513"/>
      <c r="BM12" s="513"/>
      <c r="BN12" s="519"/>
      <c r="BO12" s="513"/>
      <c r="BP12" s="519"/>
      <c r="BQ12" s="514"/>
      <c r="BR12" s="249">
        <v>42310</v>
      </c>
      <c r="BS12" s="251" t="s">
        <v>854</v>
      </c>
    </row>
    <row r="13" spans="1:71" ht="103.5" x14ac:dyDescent="0.4">
      <c r="A13" s="489"/>
      <c r="B13" s="252" t="s">
        <v>859</v>
      </c>
      <c r="C13" s="235" t="s">
        <v>833</v>
      </c>
      <c r="D13" s="252" t="s">
        <v>860</v>
      </c>
      <c r="E13" s="235" t="s">
        <v>403</v>
      </c>
      <c r="F13" s="252" t="s">
        <v>861</v>
      </c>
      <c r="G13" s="252" t="s">
        <v>862</v>
      </c>
      <c r="H13" s="375" t="s">
        <v>404</v>
      </c>
      <c r="I13" s="252" t="s">
        <v>148</v>
      </c>
      <c r="J13" s="252" t="s">
        <v>863</v>
      </c>
      <c r="K13" s="237" t="s">
        <v>864</v>
      </c>
      <c r="L13" s="252" t="s">
        <v>865</v>
      </c>
      <c r="M13" s="252" t="s">
        <v>146</v>
      </c>
      <c r="N13" s="236" t="s">
        <v>195</v>
      </c>
      <c r="O13" s="252" t="s">
        <v>172</v>
      </c>
      <c r="P13" s="252" t="s">
        <v>1956</v>
      </c>
      <c r="Q13" s="244">
        <v>2014</v>
      </c>
      <c r="R13" s="239">
        <v>41993</v>
      </c>
      <c r="S13" s="244">
        <v>7</v>
      </c>
      <c r="T13" s="240" t="s">
        <v>841</v>
      </c>
      <c r="U13" s="244">
        <v>4</v>
      </c>
      <c r="V13" s="239" t="s">
        <v>866</v>
      </c>
      <c r="W13" s="241" t="s">
        <v>843</v>
      </c>
      <c r="X13" s="239">
        <v>42336</v>
      </c>
      <c r="Y13" s="239">
        <v>42365</v>
      </c>
      <c r="Z13" s="244" t="s">
        <v>152</v>
      </c>
      <c r="AA13" s="253">
        <v>42397</v>
      </c>
      <c r="AB13" s="254" t="s">
        <v>867</v>
      </c>
      <c r="AC13" s="255">
        <v>42405</v>
      </c>
      <c r="AD13" s="255">
        <v>42453</v>
      </c>
      <c r="AE13" s="256">
        <f>AC13-AA13</f>
        <v>8</v>
      </c>
      <c r="AF13" s="257">
        <f t="shared" si="0"/>
        <v>48</v>
      </c>
      <c r="AG13" s="235" t="s">
        <v>845</v>
      </c>
      <c r="AH13" s="244"/>
      <c r="AI13" s="244"/>
      <c r="AJ13" s="244"/>
      <c r="AK13" s="244"/>
      <c r="AL13" s="276" t="s">
        <v>845</v>
      </c>
      <c r="AM13" s="276">
        <v>6</v>
      </c>
      <c r="AN13" s="276">
        <v>205</v>
      </c>
      <c r="AO13" s="276">
        <v>205</v>
      </c>
      <c r="AP13" s="276">
        <v>205</v>
      </c>
      <c r="AQ13" s="276">
        <v>205</v>
      </c>
      <c r="AR13" s="276">
        <v>205</v>
      </c>
      <c r="AS13" s="276">
        <v>205</v>
      </c>
      <c r="AT13" s="276"/>
      <c r="AU13" s="276"/>
      <c r="AV13" s="276"/>
      <c r="AW13" s="276"/>
      <c r="AX13" s="276"/>
      <c r="AY13" s="276"/>
      <c r="AZ13" s="276"/>
      <c r="BA13" s="276"/>
      <c r="BB13" s="276"/>
      <c r="BC13" s="245"/>
      <c r="BD13" s="246">
        <f t="shared" si="1"/>
        <v>176.57142857142858</v>
      </c>
      <c r="BE13" s="247">
        <f t="shared" si="2"/>
        <v>1236</v>
      </c>
      <c r="BF13" s="513">
        <v>43291</v>
      </c>
      <c r="BG13" s="513">
        <v>43418</v>
      </c>
      <c r="BH13" s="519">
        <v>115</v>
      </c>
      <c r="BI13" s="513">
        <v>43433</v>
      </c>
      <c r="BJ13" s="519">
        <v>141</v>
      </c>
      <c r="BK13" s="514" t="s">
        <v>2256</v>
      </c>
      <c r="BL13" s="513"/>
      <c r="BM13" s="513"/>
      <c r="BN13" s="519"/>
      <c r="BO13" s="513"/>
      <c r="BP13" s="519"/>
      <c r="BQ13" s="514"/>
      <c r="BR13" s="258"/>
      <c r="BS13" s="259"/>
    </row>
    <row r="14" spans="1:71" ht="103.5" x14ac:dyDescent="0.4">
      <c r="A14" s="489"/>
      <c r="B14" s="252" t="s">
        <v>868</v>
      </c>
      <c r="C14" s="235" t="s">
        <v>833</v>
      </c>
      <c r="D14" s="260" t="s">
        <v>869</v>
      </c>
      <c r="E14" s="235" t="s">
        <v>403</v>
      </c>
      <c r="F14" s="235" t="s">
        <v>835</v>
      </c>
      <c r="G14" s="235" t="s">
        <v>862</v>
      </c>
      <c r="H14" s="375" t="s">
        <v>404</v>
      </c>
      <c r="I14" s="252" t="s">
        <v>148</v>
      </c>
      <c r="J14" s="235" t="s">
        <v>837</v>
      </c>
      <c r="K14" s="237" t="s">
        <v>838</v>
      </c>
      <c r="L14" s="252" t="s">
        <v>865</v>
      </c>
      <c r="M14" s="260" t="s">
        <v>146</v>
      </c>
      <c r="N14" s="236" t="s">
        <v>195</v>
      </c>
      <c r="O14" s="260" t="s">
        <v>337</v>
      </c>
      <c r="P14" s="252" t="s">
        <v>840</v>
      </c>
      <c r="Q14" s="261">
        <v>2013</v>
      </c>
      <c r="R14" s="253">
        <v>42095</v>
      </c>
      <c r="S14" s="244">
        <v>7</v>
      </c>
      <c r="T14" s="240" t="s">
        <v>841</v>
      </c>
      <c r="U14" s="261">
        <v>2</v>
      </c>
      <c r="V14" s="239" t="s">
        <v>870</v>
      </c>
      <c r="W14" s="241" t="s">
        <v>843</v>
      </c>
      <c r="X14" s="239">
        <v>42336</v>
      </c>
      <c r="Y14" s="239">
        <v>42365</v>
      </c>
      <c r="Z14" s="262" t="s">
        <v>152</v>
      </c>
      <c r="AA14" s="253">
        <v>42422</v>
      </c>
      <c r="AB14" s="263" t="s">
        <v>844</v>
      </c>
      <c r="AC14" s="255">
        <v>42434</v>
      </c>
      <c r="AD14" s="255">
        <v>42453</v>
      </c>
      <c r="AE14" s="264">
        <f t="shared" si="3"/>
        <v>12</v>
      </c>
      <c r="AF14" s="257">
        <f t="shared" si="0"/>
        <v>19</v>
      </c>
      <c r="AG14" s="235" t="s">
        <v>845</v>
      </c>
      <c r="AH14" s="248"/>
      <c r="AI14" s="248"/>
      <c r="AJ14" s="248"/>
      <c r="AK14" s="265"/>
      <c r="AL14" s="276" t="s">
        <v>845</v>
      </c>
      <c r="AM14" s="276" t="s">
        <v>845</v>
      </c>
      <c r="AN14" s="280">
        <v>114</v>
      </c>
      <c r="AO14" s="280">
        <v>152</v>
      </c>
      <c r="AP14" s="280">
        <v>152</v>
      </c>
      <c r="AQ14" s="280">
        <v>152</v>
      </c>
      <c r="AR14" s="280">
        <v>152</v>
      </c>
      <c r="AS14" s="280">
        <v>152</v>
      </c>
      <c r="AT14" s="280"/>
      <c r="AU14" s="280"/>
      <c r="AV14" s="280"/>
      <c r="AW14" s="280"/>
      <c r="AX14" s="280"/>
      <c r="AY14" s="280"/>
      <c r="AZ14" s="280"/>
      <c r="BA14" s="280"/>
      <c r="BB14" s="280"/>
      <c r="BC14" s="266"/>
      <c r="BD14" s="246">
        <f t="shared" si="1"/>
        <v>145.66666666666666</v>
      </c>
      <c r="BE14" s="247">
        <f t="shared" si="2"/>
        <v>874</v>
      </c>
      <c r="BF14" s="513">
        <v>43291</v>
      </c>
      <c r="BG14" s="513">
        <v>43433</v>
      </c>
      <c r="BH14" s="519">
        <v>53</v>
      </c>
      <c r="BI14" s="513">
        <v>43433</v>
      </c>
      <c r="BJ14" s="519">
        <v>79</v>
      </c>
      <c r="BK14" s="514" t="s">
        <v>2257</v>
      </c>
      <c r="BL14" s="513"/>
      <c r="BM14" s="513"/>
      <c r="BN14" s="519"/>
      <c r="BO14" s="513"/>
      <c r="BP14" s="519"/>
      <c r="BQ14" s="514"/>
      <c r="BR14" s="267"/>
      <c r="BS14" s="268"/>
    </row>
    <row r="15" spans="1:71" ht="409.5" x14ac:dyDescent="0.4">
      <c r="A15" s="489"/>
      <c r="B15" s="252" t="s">
        <v>276</v>
      </c>
      <c r="C15" s="235" t="s">
        <v>833</v>
      </c>
      <c r="D15" s="260" t="s">
        <v>871</v>
      </c>
      <c r="E15" s="235" t="s">
        <v>403</v>
      </c>
      <c r="F15" s="260" t="s">
        <v>872</v>
      </c>
      <c r="G15" s="260" t="s">
        <v>873</v>
      </c>
      <c r="H15" s="375" t="s">
        <v>404</v>
      </c>
      <c r="I15" s="260" t="s">
        <v>270</v>
      </c>
      <c r="J15" s="260" t="s">
        <v>874</v>
      </c>
      <c r="K15" s="269" t="s">
        <v>875</v>
      </c>
      <c r="L15" s="260" t="s">
        <v>876</v>
      </c>
      <c r="M15" s="260" t="s">
        <v>146</v>
      </c>
      <c r="N15" s="236" t="s">
        <v>877</v>
      </c>
      <c r="O15" s="260" t="s">
        <v>153</v>
      </c>
      <c r="P15" s="260" t="s">
        <v>840</v>
      </c>
      <c r="Q15" s="261">
        <v>2013</v>
      </c>
      <c r="R15" s="261" t="s">
        <v>878</v>
      </c>
      <c r="S15" s="261">
        <v>8</v>
      </c>
      <c r="T15" s="240" t="s">
        <v>841</v>
      </c>
      <c r="U15" s="261">
        <v>3</v>
      </c>
      <c r="V15" s="239" t="s">
        <v>879</v>
      </c>
      <c r="W15" s="241" t="s">
        <v>843</v>
      </c>
      <c r="X15" s="239">
        <v>42339</v>
      </c>
      <c r="Y15" s="239">
        <v>42368</v>
      </c>
      <c r="Z15" s="262" t="s">
        <v>152</v>
      </c>
      <c r="AA15" s="253">
        <v>42389</v>
      </c>
      <c r="AB15" s="260" t="s">
        <v>854</v>
      </c>
      <c r="AC15" s="270">
        <v>42391</v>
      </c>
      <c r="AD15" s="253">
        <v>42524</v>
      </c>
      <c r="AE15" s="264">
        <f t="shared" si="3"/>
        <v>2</v>
      </c>
      <c r="AF15" s="257">
        <f t="shared" si="0"/>
        <v>133</v>
      </c>
      <c r="AG15" s="235" t="s">
        <v>845</v>
      </c>
      <c r="AH15" s="265"/>
      <c r="AI15" s="265"/>
      <c r="AJ15" s="265"/>
      <c r="AK15" s="265"/>
      <c r="AL15" s="276" t="s">
        <v>845</v>
      </c>
      <c r="AM15" s="280">
        <v>18</v>
      </c>
      <c r="AN15" s="280">
        <v>83</v>
      </c>
      <c r="AO15" s="280">
        <v>141</v>
      </c>
      <c r="AP15" s="280">
        <v>141</v>
      </c>
      <c r="AQ15" s="280">
        <v>141</v>
      </c>
      <c r="AR15" s="280">
        <v>141</v>
      </c>
      <c r="AS15" s="280">
        <v>141</v>
      </c>
      <c r="AT15" s="280"/>
      <c r="AU15" s="280"/>
      <c r="AV15" s="280"/>
      <c r="AW15" s="280"/>
      <c r="AX15" s="280"/>
      <c r="AY15" s="280"/>
      <c r="AZ15" s="280"/>
      <c r="BA15" s="280"/>
      <c r="BB15" s="280"/>
      <c r="BC15" s="266"/>
      <c r="BD15" s="246">
        <f t="shared" si="1"/>
        <v>115.14285714285714</v>
      </c>
      <c r="BE15" s="247">
        <f t="shared" si="2"/>
        <v>806</v>
      </c>
      <c r="BF15" s="513">
        <v>43291</v>
      </c>
      <c r="BG15" s="513">
        <v>43291</v>
      </c>
      <c r="BH15" s="519">
        <v>69</v>
      </c>
      <c r="BI15" s="513">
        <v>43292</v>
      </c>
      <c r="BJ15" s="519">
        <v>126</v>
      </c>
      <c r="BK15" s="514" t="s">
        <v>2258</v>
      </c>
      <c r="BL15" s="513"/>
      <c r="BM15" s="513"/>
      <c r="BN15" s="519"/>
      <c r="BO15" s="513"/>
      <c r="BP15" s="519"/>
      <c r="BQ15" s="514"/>
      <c r="BR15" s="271">
        <v>42614</v>
      </c>
      <c r="BS15" s="251" t="s">
        <v>854</v>
      </c>
    </row>
    <row r="16" spans="1:71" ht="51.75" x14ac:dyDescent="0.4">
      <c r="A16" s="489"/>
      <c r="B16" s="263" t="s">
        <v>361</v>
      </c>
      <c r="C16" s="263" t="s">
        <v>2311</v>
      </c>
      <c r="D16" s="263" t="s">
        <v>1957</v>
      </c>
      <c r="E16" s="235" t="s">
        <v>403</v>
      </c>
      <c r="F16" s="263" t="s">
        <v>1958</v>
      </c>
      <c r="G16" s="263" t="s">
        <v>1959</v>
      </c>
      <c r="H16" s="375" t="s">
        <v>404</v>
      </c>
      <c r="I16" s="263" t="s">
        <v>270</v>
      </c>
      <c r="J16" s="263" t="s">
        <v>1960</v>
      </c>
      <c r="K16" s="263" t="s">
        <v>1961</v>
      </c>
      <c r="L16" s="263" t="s">
        <v>351</v>
      </c>
      <c r="M16" s="263" t="s">
        <v>146</v>
      </c>
      <c r="N16" s="236" t="s">
        <v>201</v>
      </c>
      <c r="O16" s="263" t="s">
        <v>172</v>
      </c>
      <c r="P16" s="263" t="s">
        <v>840</v>
      </c>
      <c r="Q16" s="240">
        <v>2013</v>
      </c>
      <c r="R16" s="272">
        <v>42461</v>
      </c>
      <c r="S16" s="273">
        <v>8</v>
      </c>
      <c r="T16" s="240" t="s">
        <v>841</v>
      </c>
      <c r="U16" s="257">
        <v>1</v>
      </c>
      <c r="V16" s="272">
        <v>42404</v>
      </c>
      <c r="W16" s="241" t="s">
        <v>843</v>
      </c>
      <c r="X16" s="272">
        <v>42588</v>
      </c>
      <c r="Y16" s="274">
        <v>42617</v>
      </c>
      <c r="Z16" s="275" t="s">
        <v>152</v>
      </c>
      <c r="AA16" s="272">
        <v>42622</v>
      </c>
      <c r="AB16" s="263" t="s">
        <v>1962</v>
      </c>
      <c r="AC16" s="272">
        <v>42713</v>
      </c>
      <c r="AD16" s="272">
        <v>42776</v>
      </c>
      <c r="AE16" s="243">
        <f t="shared" si="3"/>
        <v>91</v>
      </c>
      <c r="AF16" s="243">
        <f t="shared" si="0"/>
        <v>63</v>
      </c>
      <c r="AG16" s="235" t="s">
        <v>845</v>
      </c>
      <c r="AH16" s="237"/>
      <c r="AI16" s="237"/>
      <c r="AJ16" s="237"/>
      <c r="AK16" s="237"/>
      <c r="AL16" s="276" t="s">
        <v>845</v>
      </c>
      <c r="AM16" s="276" t="s">
        <v>845</v>
      </c>
      <c r="AN16" s="276" t="s">
        <v>845</v>
      </c>
      <c r="AO16" s="276">
        <v>131</v>
      </c>
      <c r="AP16" s="276">
        <v>175</v>
      </c>
      <c r="AQ16" s="276">
        <v>175</v>
      </c>
      <c r="AR16" s="276">
        <v>175</v>
      </c>
      <c r="AS16" s="276">
        <v>175</v>
      </c>
      <c r="AT16" s="276"/>
      <c r="AU16" s="280"/>
      <c r="AV16" s="280"/>
      <c r="AW16" s="280"/>
      <c r="AX16" s="280"/>
      <c r="AY16" s="280"/>
      <c r="AZ16" s="280"/>
      <c r="BA16" s="280"/>
      <c r="BB16" s="280"/>
      <c r="BC16" s="280"/>
      <c r="BD16" s="246">
        <f t="shared" si="1"/>
        <v>166.2</v>
      </c>
      <c r="BE16" s="247">
        <f t="shared" si="2"/>
        <v>831</v>
      </c>
      <c r="BF16" s="513"/>
      <c r="BG16" s="513"/>
      <c r="BH16" s="519"/>
      <c r="BI16" s="513"/>
      <c r="BJ16" s="519"/>
      <c r="BK16" s="514"/>
      <c r="BL16" s="513"/>
      <c r="BM16" s="513"/>
      <c r="BN16" s="519"/>
      <c r="BO16" s="513"/>
      <c r="BP16" s="519"/>
      <c r="BQ16" s="514"/>
      <c r="BR16" s="277"/>
      <c r="BS16" s="278"/>
    </row>
    <row r="17" spans="1:71" ht="86.25" x14ac:dyDescent="0.4">
      <c r="A17" s="489"/>
      <c r="B17" s="263" t="s">
        <v>880</v>
      </c>
      <c r="C17" s="235" t="s">
        <v>833</v>
      </c>
      <c r="D17" s="263" t="s">
        <v>881</v>
      </c>
      <c r="E17" s="235" t="s">
        <v>403</v>
      </c>
      <c r="F17" s="263" t="s">
        <v>882</v>
      </c>
      <c r="G17" s="263" t="s">
        <v>883</v>
      </c>
      <c r="H17" s="375" t="s">
        <v>404</v>
      </c>
      <c r="I17" s="263" t="s">
        <v>270</v>
      </c>
      <c r="J17" s="263" t="s">
        <v>884</v>
      </c>
      <c r="K17" s="263" t="s">
        <v>885</v>
      </c>
      <c r="L17" s="263" t="s">
        <v>886</v>
      </c>
      <c r="M17" s="263" t="s">
        <v>146</v>
      </c>
      <c r="N17" s="236" t="s">
        <v>195</v>
      </c>
      <c r="O17" s="263" t="s">
        <v>337</v>
      </c>
      <c r="P17" s="263" t="s">
        <v>840</v>
      </c>
      <c r="Q17" s="240">
        <v>2015</v>
      </c>
      <c r="R17" s="272">
        <v>42705</v>
      </c>
      <c r="S17" s="273">
        <v>15</v>
      </c>
      <c r="T17" s="240" t="s">
        <v>841</v>
      </c>
      <c r="U17" s="257">
        <v>2</v>
      </c>
      <c r="V17" s="272">
        <v>42682</v>
      </c>
      <c r="W17" s="241" t="s">
        <v>887</v>
      </c>
      <c r="X17" s="272">
        <v>42768</v>
      </c>
      <c r="Y17" s="274">
        <v>42797</v>
      </c>
      <c r="Z17" s="275" t="s">
        <v>152</v>
      </c>
      <c r="AA17" s="272">
        <v>42818</v>
      </c>
      <c r="AB17" s="263" t="s">
        <v>888</v>
      </c>
      <c r="AC17" s="272">
        <v>42807</v>
      </c>
      <c r="AD17" s="272">
        <v>43073</v>
      </c>
      <c r="AE17" s="243">
        <f t="shared" si="3"/>
        <v>-11</v>
      </c>
      <c r="AF17" s="243">
        <f t="shared" si="0"/>
        <v>266</v>
      </c>
      <c r="AG17" s="235" t="s">
        <v>845</v>
      </c>
      <c r="AH17" s="237"/>
      <c r="AI17" s="237"/>
      <c r="AJ17" s="237"/>
      <c r="AK17" s="237"/>
      <c r="AL17" s="276" t="s">
        <v>845</v>
      </c>
      <c r="AM17" s="276" t="s">
        <v>845</v>
      </c>
      <c r="AN17" s="276" t="s">
        <v>845</v>
      </c>
      <c r="AO17" s="276">
        <v>33</v>
      </c>
      <c r="AP17" s="276">
        <v>398</v>
      </c>
      <c r="AQ17" s="276">
        <v>398</v>
      </c>
      <c r="AR17" s="276">
        <v>398</v>
      </c>
      <c r="AS17" s="276">
        <v>398</v>
      </c>
      <c r="AT17" s="276"/>
      <c r="AU17" s="276"/>
      <c r="AV17" s="276"/>
      <c r="AW17" s="276"/>
      <c r="AX17" s="276"/>
      <c r="AY17" s="276"/>
      <c r="AZ17" s="276"/>
      <c r="BA17" s="276"/>
      <c r="BB17" s="276"/>
      <c r="BC17" s="276"/>
      <c r="BD17" s="246">
        <f t="shared" si="1"/>
        <v>325</v>
      </c>
      <c r="BE17" s="247">
        <f t="shared" si="2"/>
        <v>1625</v>
      </c>
      <c r="BF17" s="513">
        <v>43840</v>
      </c>
      <c r="BG17" s="513">
        <v>43845</v>
      </c>
      <c r="BH17" s="519">
        <v>121</v>
      </c>
      <c r="BI17" s="513">
        <v>43846</v>
      </c>
      <c r="BJ17" s="519">
        <v>131</v>
      </c>
      <c r="BK17" s="514" t="s">
        <v>2259</v>
      </c>
      <c r="BL17" s="513"/>
      <c r="BM17" s="513"/>
      <c r="BN17" s="519"/>
      <c r="BO17" s="513"/>
      <c r="BP17" s="519"/>
      <c r="BQ17" s="514"/>
      <c r="BR17" s="277"/>
      <c r="BS17" s="278"/>
    </row>
    <row r="18" spans="1:71" ht="86.25" x14ac:dyDescent="0.4">
      <c r="A18" s="489"/>
      <c r="B18" s="263" t="s">
        <v>2383</v>
      </c>
      <c r="C18" s="263" t="s">
        <v>2388</v>
      </c>
      <c r="D18" s="263" t="s">
        <v>2402</v>
      </c>
      <c r="E18" s="235" t="s">
        <v>403</v>
      </c>
      <c r="F18" s="263" t="s">
        <v>2385</v>
      </c>
      <c r="G18" s="263" t="s">
        <v>2386</v>
      </c>
      <c r="H18" s="375" t="s">
        <v>404</v>
      </c>
      <c r="I18" s="263" t="s">
        <v>148</v>
      </c>
      <c r="J18" s="263" t="s">
        <v>2398</v>
      </c>
      <c r="K18" s="263" t="s">
        <v>2395</v>
      </c>
      <c r="L18" s="263" t="s">
        <v>2387</v>
      </c>
      <c r="M18" s="263" t="s">
        <v>2401</v>
      </c>
      <c r="N18" s="385" t="s">
        <v>2403</v>
      </c>
      <c r="O18" s="263" t="s">
        <v>2404</v>
      </c>
      <c r="P18" s="263" t="s">
        <v>840</v>
      </c>
      <c r="Q18" s="274">
        <v>41810</v>
      </c>
      <c r="R18" s="272">
        <v>42016</v>
      </c>
      <c r="S18" s="273">
        <v>9</v>
      </c>
      <c r="T18" s="240" t="s">
        <v>841</v>
      </c>
      <c r="U18" s="257">
        <v>2</v>
      </c>
      <c r="V18" s="272" t="s">
        <v>2405</v>
      </c>
      <c r="W18" s="374" t="s">
        <v>2407</v>
      </c>
      <c r="X18" s="272">
        <v>43566</v>
      </c>
      <c r="Y18" s="274">
        <v>43595</v>
      </c>
      <c r="Z18" s="275" t="s">
        <v>152</v>
      </c>
      <c r="AA18" s="272">
        <v>43810</v>
      </c>
      <c r="AB18" s="263" t="s">
        <v>2396</v>
      </c>
      <c r="AC18" s="272">
        <v>43819</v>
      </c>
      <c r="AD18" s="272">
        <v>43927</v>
      </c>
      <c r="AE18" s="243">
        <f>AC18-AA18</f>
        <v>9</v>
      </c>
      <c r="AF18" s="243">
        <f t="shared" si="0"/>
        <v>108</v>
      </c>
      <c r="AG18" s="235" t="s">
        <v>845</v>
      </c>
      <c r="AH18" s="237"/>
      <c r="AI18" s="237"/>
      <c r="AJ18" s="237"/>
      <c r="AK18" s="237"/>
      <c r="AL18" s="276" t="s">
        <v>845</v>
      </c>
      <c r="AM18" s="276" t="s">
        <v>845</v>
      </c>
      <c r="AN18" s="276">
        <v>34</v>
      </c>
      <c r="AO18" s="276">
        <v>98</v>
      </c>
      <c r="AP18" s="276">
        <v>98</v>
      </c>
      <c r="AQ18" s="276">
        <v>98</v>
      </c>
      <c r="AR18" s="276">
        <v>98</v>
      </c>
      <c r="AS18" s="276">
        <v>98</v>
      </c>
      <c r="AT18" s="276">
        <v>24</v>
      </c>
      <c r="AU18" s="276"/>
      <c r="AV18" s="276"/>
      <c r="AW18" s="276"/>
      <c r="AX18" s="276"/>
      <c r="AY18" s="276"/>
      <c r="AZ18" s="276"/>
      <c r="BA18" s="276"/>
      <c r="BB18" s="276"/>
      <c r="BC18" s="276"/>
      <c r="BD18" s="246">
        <f>BE18/COUNT(AL18:BC18)</f>
        <v>78.285714285714292</v>
      </c>
      <c r="BE18" s="247">
        <f t="shared" si="2"/>
        <v>548</v>
      </c>
      <c r="BF18" s="513"/>
      <c r="BG18" s="513"/>
      <c r="BH18" s="519"/>
      <c r="BI18" s="513"/>
      <c r="BJ18" s="519"/>
      <c r="BK18" s="514"/>
      <c r="BL18" s="513"/>
      <c r="BM18" s="513"/>
      <c r="BN18" s="519"/>
      <c r="BO18" s="513"/>
      <c r="BP18" s="519"/>
      <c r="BQ18" s="514"/>
      <c r="BR18" s="277"/>
      <c r="BS18" s="278"/>
    </row>
    <row r="19" spans="1:71" ht="103.5" x14ac:dyDescent="0.4">
      <c r="A19" s="488"/>
      <c r="B19" s="263" t="s">
        <v>379</v>
      </c>
      <c r="C19" s="235" t="s">
        <v>833</v>
      </c>
      <c r="D19" s="263" t="s">
        <v>889</v>
      </c>
      <c r="E19" s="235" t="s">
        <v>403</v>
      </c>
      <c r="F19" s="263" t="s">
        <v>890</v>
      </c>
      <c r="G19" s="263" t="s">
        <v>891</v>
      </c>
      <c r="H19" s="375" t="s">
        <v>404</v>
      </c>
      <c r="I19" s="263" t="s">
        <v>148</v>
      </c>
      <c r="J19" s="263" t="s">
        <v>2397</v>
      </c>
      <c r="K19" s="263" t="s">
        <v>892</v>
      </c>
      <c r="L19" s="263" t="s">
        <v>893</v>
      </c>
      <c r="M19" s="263" t="s">
        <v>146</v>
      </c>
      <c r="N19" s="236" t="s">
        <v>376</v>
      </c>
      <c r="O19" s="263" t="s">
        <v>172</v>
      </c>
      <c r="P19" s="263" t="s">
        <v>840</v>
      </c>
      <c r="Q19" s="240">
        <v>2014</v>
      </c>
      <c r="R19" s="272">
        <v>42826</v>
      </c>
      <c r="S19" s="273">
        <v>12</v>
      </c>
      <c r="T19" s="273" t="s">
        <v>894</v>
      </c>
      <c r="U19" s="257">
        <v>1</v>
      </c>
      <c r="V19" s="272">
        <v>42724</v>
      </c>
      <c r="W19" s="241" t="s">
        <v>895</v>
      </c>
      <c r="X19" s="272">
        <v>42938</v>
      </c>
      <c r="Y19" s="274">
        <v>42967</v>
      </c>
      <c r="Z19" s="275" t="s">
        <v>152</v>
      </c>
      <c r="AA19" s="272">
        <v>43068</v>
      </c>
      <c r="AB19" s="263" t="s">
        <v>888</v>
      </c>
      <c r="AC19" s="272">
        <v>43028</v>
      </c>
      <c r="AD19" s="272">
        <v>43091</v>
      </c>
      <c r="AE19" s="279">
        <f>AC19-AA19</f>
        <v>-40</v>
      </c>
      <c r="AF19" s="279">
        <f t="shared" si="0"/>
        <v>63</v>
      </c>
      <c r="AG19" s="263" t="s">
        <v>845</v>
      </c>
      <c r="AH19" s="237"/>
      <c r="AI19" s="237"/>
      <c r="AJ19" s="237"/>
      <c r="AK19" s="237"/>
      <c r="AL19" s="276" t="s">
        <v>845</v>
      </c>
      <c r="AM19" s="276" t="s">
        <v>845</v>
      </c>
      <c r="AN19" s="276" t="s">
        <v>845</v>
      </c>
      <c r="AO19" s="276" t="s">
        <v>845</v>
      </c>
      <c r="AP19" s="276">
        <v>14258</v>
      </c>
      <c r="AQ19" s="276">
        <v>19011</v>
      </c>
      <c r="AR19" s="276">
        <v>19011</v>
      </c>
      <c r="AS19" s="276">
        <v>19011</v>
      </c>
      <c r="AT19" s="276"/>
      <c r="AU19" s="276"/>
      <c r="AV19" s="276"/>
      <c r="AW19" s="276"/>
      <c r="AX19" s="276"/>
      <c r="AY19" s="276"/>
      <c r="AZ19" s="280"/>
      <c r="BA19" s="280"/>
      <c r="BB19" s="280"/>
      <c r="BC19" s="280"/>
      <c r="BD19" s="246">
        <f t="shared" si="1"/>
        <v>17822.75</v>
      </c>
      <c r="BE19" s="246">
        <f t="shared" si="2"/>
        <v>71291</v>
      </c>
      <c r="BF19" s="513">
        <v>43840</v>
      </c>
      <c r="BG19" s="513">
        <v>43845</v>
      </c>
      <c r="BH19" s="519">
        <v>7441</v>
      </c>
      <c r="BI19" s="513">
        <v>43846</v>
      </c>
      <c r="BJ19" s="519">
        <v>8736</v>
      </c>
      <c r="BK19" s="514" t="s">
        <v>2260</v>
      </c>
      <c r="BL19" s="513"/>
      <c r="BM19" s="513"/>
      <c r="BN19" s="519"/>
      <c r="BO19" s="513"/>
      <c r="BP19" s="519"/>
      <c r="BQ19" s="514"/>
      <c r="BR19" s="277"/>
      <c r="BS19" s="278"/>
    </row>
    <row r="20" spans="1:71" ht="69" x14ac:dyDescent="0.4">
      <c r="A20" s="488"/>
      <c r="B20" s="263" t="s">
        <v>320</v>
      </c>
      <c r="C20" s="235" t="s">
        <v>833</v>
      </c>
      <c r="D20" s="263" t="s">
        <v>896</v>
      </c>
      <c r="E20" s="235" t="s">
        <v>403</v>
      </c>
      <c r="F20" s="263" t="s">
        <v>897</v>
      </c>
      <c r="G20" s="263" t="s">
        <v>317</v>
      </c>
      <c r="H20" s="375" t="s">
        <v>404</v>
      </c>
      <c r="I20" s="263" t="s">
        <v>148</v>
      </c>
      <c r="J20" s="263" t="s">
        <v>898</v>
      </c>
      <c r="K20" s="237" t="s">
        <v>899</v>
      </c>
      <c r="L20" s="263" t="s">
        <v>900</v>
      </c>
      <c r="M20" s="263" t="s">
        <v>146</v>
      </c>
      <c r="N20" s="236" t="s">
        <v>901</v>
      </c>
      <c r="O20" s="263" t="s">
        <v>172</v>
      </c>
      <c r="P20" s="263" t="s">
        <v>902</v>
      </c>
      <c r="Q20" s="240">
        <v>2016</v>
      </c>
      <c r="R20" s="272">
        <v>43101</v>
      </c>
      <c r="S20" s="273">
        <v>5</v>
      </c>
      <c r="T20" s="240" t="s">
        <v>841</v>
      </c>
      <c r="U20" s="257">
        <v>1</v>
      </c>
      <c r="V20" s="272">
        <v>42934</v>
      </c>
      <c r="W20" s="241" t="s">
        <v>903</v>
      </c>
      <c r="X20" s="272">
        <v>43028</v>
      </c>
      <c r="Y20" s="274">
        <v>43057</v>
      </c>
      <c r="Z20" s="275" t="s">
        <v>152</v>
      </c>
      <c r="AA20" s="272">
        <v>43161</v>
      </c>
      <c r="AB20" s="260" t="s">
        <v>854</v>
      </c>
      <c r="AC20" s="272">
        <v>43162</v>
      </c>
      <c r="AD20" s="272">
        <v>43291</v>
      </c>
      <c r="AE20" s="279">
        <f t="shared" si="3"/>
        <v>1</v>
      </c>
      <c r="AF20" s="279">
        <f t="shared" si="0"/>
        <v>129</v>
      </c>
      <c r="AG20" s="263" t="s">
        <v>845</v>
      </c>
      <c r="AH20" s="237"/>
      <c r="AI20" s="237"/>
      <c r="AJ20" s="237"/>
      <c r="AK20" s="237"/>
      <c r="AL20" s="276" t="s">
        <v>845</v>
      </c>
      <c r="AM20" s="276" t="s">
        <v>845</v>
      </c>
      <c r="AN20" s="276" t="s">
        <v>845</v>
      </c>
      <c r="AO20" s="276" t="s">
        <v>845</v>
      </c>
      <c r="AP20" s="276" t="s">
        <v>845</v>
      </c>
      <c r="AQ20" s="276">
        <v>20000</v>
      </c>
      <c r="AR20" s="276">
        <v>20000</v>
      </c>
      <c r="AS20" s="276">
        <v>20000</v>
      </c>
      <c r="AT20" s="276"/>
      <c r="AU20" s="276"/>
      <c r="AV20" s="280"/>
      <c r="AW20" s="280"/>
      <c r="AX20" s="280"/>
      <c r="AY20" s="280"/>
      <c r="AZ20" s="280"/>
      <c r="BA20" s="280"/>
      <c r="BB20" s="280"/>
      <c r="BC20" s="280"/>
      <c r="BD20" s="246">
        <f t="shared" si="1"/>
        <v>20000</v>
      </c>
      <c r="BE20" s="246">
        <f t="shared" si="2"/>
        <v>60000</v>
      </c>
      <c r="BF20" s="513">
        <v>43840</v>
      </c>
      <c r="BG20" s="513">
        <v>43845</v>
      </c>
      <c r="BH20" s="519">
        <v>10488</v>
      </c>
      <c r="BI20" s="513">
        <v>43847</v>
      </c>
      <c r="BJ20" s="519">
        <v>24468</v>
      </c>
      <c r="BK20" s="514" t="s">
        <v>2261</v>
      </c>
      <c r="BL20" s="513"/>
      <c r="BM20" s="513"/>
      <c r="BN20" s="519"/>
      <c r="BO20" s="513"/>
      <c r="BP20" s="519"/>
      <c r="BQ20" s="514"/>
      <c r="BR20" s="277"/>
      <c r="BS20" s="278"/>
    </row>
    <row r="21" spans="1:71" ht="86.25" x14ac:dyDescent="0.4">
      <c r="A21" s="488"/>
      <c r="B21" s="263" t="s">
        <v>240</v>
      </c>
      <c r="C21" s="263" t="s">
        <v>2311</v>
      </c>
      <c r="D21" s="263" t="s">
        <v>1963</v>
      </c>
      <c r="E21" s="235" t="s">
        <v>403</v>
      </c>
      <c r="F21" s="263" t="s">
        <v>1964</v>
      </c>
      <c r="G21" s="263" t="s">
        <v>236</v>
      </c>
      <c r="H21" s="375" t="s">
        <v>404</v>
      </c>
      <c r="I21" s="263" t="s">
        <v>1844</v>
      </c>
      <c r="J21" s="263" t="s">
        <v>1965</v>
      </c>
      <c r="K21" s="263" t="s">
        <v>1966</v>
      </c>
      <c r="L21" s="235" t="s">
        <v>1967</v>
      </c>
      <c r="M21" s="263" t="s">
        <v>189</v>
      </c>
      <c r="N21" s="236" t="s">
        <v>237</v>
      </c>
      <c r="O21" s="263" t="s">
        <v>172</v>
      </c>
      <c r="P21" s="263" t="s">
        <v>840</v>
      </c>
      <c r="Q21" s="239">
        <v>41810</v>
      </c>
      <c r="R21" s="272">
        <v>43220</v>
      </c>
      <c r="S21" s="273">
        <v>9</v>
      </c>
      <c r="T21" s="273" t="s">
        <v>894</v>
      </c>
      <c r="U21" s="257">
        <v>1</v>
      </c>
      <c r="V21" s="272">
        <v>42963</v>
      </c>
      <c r="W21" s="241" t="s">
        <v>903</v>
      </c>
      <c r="X21" s="272">
        <v>43082</v>
      </c>
      <c r="Y21" s="274">
        <v>43111</v>
      </c>
      <c r="Z21" s="275" t="s">
        <v>152</v>
      </c>
      <c r="AA21" s="272">
        <v>43165</v>
      </c>
      <c r="AB21" s="260" t="s">
        <v>854</v>
      </c>
      <c r="AC21" s="272">
        <v>43173</v>
      </c>
      <c r="AD21" s="272">
        <v>43291</v>
      </c>
      <c r="AE21" s="279">
        <f t="shared" si="3"/>
        <v>8</v>
      </c>
      <c r="AF21" s="279">
        <f t="shared" si="0"/>
        <v>118</v>
      </c>
      <c r="AG21" s="263" t="s">
        <v>845</v>
      </c>
      <c r="AH21" s="237"/>
      <c r="AI21" s="237"/>
      <c r="AJ21" s="237"/>
      <c r="AK21" s="237"/>
      <c r="AL21" s="276" t="s">
        <v>845</v>
      </c>
      <c r="AM21" s="276" t="s">
        <v>845</v>
      </c>
      <c r="AN21" s="276" t="s">
        <v>845</v>
      </c>
      <c r="AO21" s="276" t="s">
        <v>845</v>
      </c>
      <c r="AP21" s="276" t="s">
        <v>845</v>
      </c>
      <c r="AQ21" s="276">
        <v>99375</v>
      </c>
      <c r="AR21" s="276">
        <v>149063</v>
      </c>
      <c r="AS21" s="276">
        <v>149063</v>
      </c>
      <c r="AT21" s="276"/>
      <c r="AU21" s="276"/>
      <c r="AV21" s="276"/>
      <c r="AW21" s="280"/>
      <c r="AX21" s="280"/>
      <c r="AY21" s="280"/>
      <c r="AZ21" s="280"/>
      <c r="BA21" s="280"/>
      <c r="BB21" s="280"/>
      <c r="BC21" s="280"/>
      <c r="BD21" s="246">
        <f t="shared" si="1"/>
        <v>132500.33333333334</v>
      </c>
      <c r="BE21" s="246">
        <f t="shared" si="2"/>
        <v>397501</v>
      </c>
      <c r="BF21" s="513"/>
      <c r="BG21" s="513"/>
      <c r="BH21" s="519"/>
      <c r="BI21" s="513"/>
      <c r="BJ21" s="519"/>
      <c r="BK21" s="514"/>
      <c r="BL21" s="513"/>
      <c r="BM21" s="513"/>
      <c r="BN21" s="519"/>
      <c r="BO21" s="513"/>
      <c r="BP21" s="519"/>
      <c r="BQ21" s="514"/>
      <c r="BR21" s="277"/>
      <c r="BS21" s="278"/>
    </row>
    <row r="22" spans="1:71" ht="69" x14ac:dyDescent="0.4">
      <c r="A22" s="488"/>
      <c r="B22" s="263" t="s">
        <v>302</v>
      </c>
      <c r="C22" s="235" t="s">
        <v>833</v>
      </c>
      <c r="D22" s="263" t="s">
        <v>904</v>
      </c>
      <c r="E22" s="235" t="s">
        <v>403</v>
      </c>
      <c r="F22" s="263" t="s">
        <v>897</v>
      </c>
      <c r="G22" s="263" t="s">
        <v>297</v>
      </c>
      <c r="H22" s="375" t="s">
        <v>404</v>
      </c>
      <c r="I22" s="263" t="s">
        <v>148</v>
      </c>
      <c r="J22" s="263" t="s">
        <v>905</v>
      </c>
      <c r="K22" s="237" t="s">
        <v>906</v>
      </c>
      <c r="L22" s="235" t="s">
        <v>907</v>
      </c>
      <c r="M22" s="263" t="s">
        <v>146</v>
      </c>
      <c r="N22" s="236" t="s">
        <v>901</v>
      </c>
      <c r="O22" s="263" t="s">
        <v>337</v>
      </c>
      <c r="P22" s="263" t="s">
        <v>1968</v>
      </c>
      <c r="Q22" s="240">
        <v>2016</v>
      </c>
      <c r="R22" s="272">
        <v>43101</v>
      </c>
      <c r="S22" s="273">
        <v>5</v>
      </c>
      <c r="T22" s="240" t="s">
        <v>841</v>
      </c>
      <c r="U22" s="257">
        <v>1</v>
      </c>
      <c r="V22" s="272">
        <v>42879</v>
      </c>
      <c r="W22" s="241" t="s">
        <v>903</v>
      </c>
      <c r="X22" s="272">
        <v>43112</v>
      </c>
      <c r="Y22" s="274">
        <v>43141</v>
      </c>
      <c r="Z22" s="275" t="s">
        <v>152</v>
      </c>
      <c r="AA22" s="272">
        <v>43173</v>
      </c>
      <c r="AB22" s="260" t="s">
        <v>854</v>
      </c>
      <c r="AC22" s="272">
        <v>43175</v>
      </c>
      <c r="AD22" s="272">
        <v>43291</v>
      </c>
      <c r="AE22" s="279">
        <f t="shared" si="3"/>
        <v>2</v>
      </c>
      <c r="AF22" s="279">
        <f t="shared" si="0"/>
        <v>116</v>
      </c>
      <c r="AG22" s="263" t="s">
        <v>845</v>
      </c>
      <c r="AH22" s="237"/>
      <c r="AI22" s="237"/>
      <c r="AJ22" s="237"/>
      <c r="AK22" s="237"/>
      <c r="AL22" s="276" t="s">
        <v>845</v>
      </c>
      <c r="AM22" s="276" t="s">
        <v>845</v>
      </c>
      <c r="AN22" s="276" t="s">
        <v>845</v>
      </c>
      <c r="AO22" s="276" t="s">
        <v>845</v>
      </c>
      <c r="AP22" s="276" t="s">
        <v>845</v>
      </c>
      <c r="AQ22" s="276">
        <v>1275</v>
      </c>
      <c r="AR22" s="276">
        <v>1275</v>
      </c>
      <c r="AS22" s="276">
        <v>1275</v>
      </c>
      <c r="AT22" s="276"/>
      <c r="AU22" s="280"/>
      <c r="AV22" s="280"/>
      <c r="AW22" s="280"/>
      <c r="AX22" s="280"/>
      <c r="AY22" s="280"/>
      <c r="AZ22" s="280"/>
      <c r="BA22" s="280"/>
      <c r="BB22" s="280"/>
      <c r="BC22" s="280"/>
      <c r="BD22" s="246">
        <f t="shared" si="1"/>
        <v>1275</v>
      </c>
      <c r="BE22" s="246">
        <f t="shared" si="2"/>
        <v>3825</v>
      </c>
      <c r="BF22" s="513">
        <v>43840</v>
      </c>
      <c r="BG22" s="513">
        <v>43845</v>
      </c>
      <c r="BH22" s="519">
        <v>777</v>
      </c>
      <c r="BI22" s="513">
        <v>43847</v>
      </c>
      <c r="BJ22" s="519">
        <v>1957</v>
      </c>
      <c r="BK22" s="514" t="s">
        <v>2262</v>
      </c>
      <c r="BL22" s="513"/>
      <c r="BM22" s="513"/>
      <c r="BN22" s="519"/>
      <c r="BO22" s="513"/>
      <c r="BP22" s="519"/>
      <c r="BQ22" s="514"/>
      <c r="BR22" s="277"/>
      <c r="BS22" s="278"/>
    </row>
    <row r="23" spans="1:71" ht="327.75" x14ac:dyDescent="0.4">
      <c r="A23" s="488"/>
      <c r="B23" s="263" t="s">
        <v>908</v>
      </c>
      <c r="C23" s="235" t="s">
        <v>833</v>
      </c>
      <c r="D23" s="263" t="s">
        <v>909</v>
      </c>
      <c r="E23" s="235" t="s">
        <v>403</v>
      </c>
      <c r="F23" s="263" t="s">
        <v>910</v>
      </c>
      <c r="G23" s="263" t="s">
        <v>911</v>
      </c>
      <c r="H23" s="375" t="s">
        <v>404</v>
      </c>
      <c r="I23" s="263" t="s">
        <v>148</v>
      </c>
      <c r="J23" s="263" t="s">
        <v>912</v>
      </c>
      <c r="K23" s="263" t="s">
        <v>913</v>
      </c>
      <c r="L23" s="263" t="s">
        <v>914</v>
      </c>
      <c r="M23" s="263" t="s">
        <v>146</v>
      </c>
      <c r="N23" s="236" t="s">
        <v>915</v>
      </c>
      <c r="O23" s="263" t="s">
        <v>337</v>
      </c>
      <c r="P23" s="263" t="s">
        <v>840</v>
      </c>
      <c r="Q23" s="272">
        <v>42059</v>
      </c>
      <c r="R23" s="272">
        <v>42736</v>
      </c>
      <c r="S23" s="273">
        <v>7</v>
      </c>
      <c r="T23" s="240" t="s">
        <v>841</v>
      </c>
      <c r="U23" s="257">
        <v>1</v>
      </c>
      <c r="V23" s="272">
        <v>42642</v>
      </c>
      <c r="W23" s="241" t="s">
        <v>916</v>
      </c>
      <c r="X23" s="272">
        <v>43137</v>
      </c>
      <c r="Y23" s="272">
        <v>43166</v>
      </c>
      <c r="Z23" s="275" t="s">
        <v>152</v>
      </c>
      <c r="AA23" s="272">
        <v>43179</v>
      </c>
      <c r="AB23" s="263" t="s">
        <v>917</v>
      </c>
      <c r="AC23" s="272">
        <v>43235</v>
      </c>
      <c r="AD23" s="272">
        <v>43336</v>
      </c>
      <c r="AE23" s="279">
        <f t="shared" si="3"/>
        <v>56</v>
      </c>
      <c r="AF23" s="279">
        <f t="shared" si="0"/>
        <v>101</v>
      </c>
      <c r="AG23" s="263" t="s">
        <v>845</v>
      </c>
      <c r="AH23" s="237"/>
      <c r="AI23" s="237"/>
      <c r="AJ23" s="237"/>
      <c r="AK23" s="237"/>
      <c r="AL23" s="276" t="s">
        <v>845</v>
      </c>
      <c r="AM23" s="276" t="s">
        <v>845</v>
      </c>
      <c r="AN23" s="276" t="s">
        <v>845</v>
      </c>
      <c r="AO23" s="276" t="s">
        <v>845</v>
      </c>
      <c r="AP23" s="276">
        <v>742</v>
      </c>
      <c r="AQ23" s="276">
        <v>742</v>
      </c>
      <c r="AR23" s="276">
        <v>742</v>
      </c>
      <c r="AS23" s="276">
        <v>742</v>
      </c>
      <c r="AT23" s="276"/>
      <c r="AU23" s="276"/>
      <c r="AV23" s="280"/>
      <c r="AW23" s="280"/>
      <c r="AX23" s="280"/>
      <c r="AY23" s="280"/>
      <c r="AZ23" s="280"/>
      <c r="BA23" s="280"/>
      <c r="BB23" s="280"/>
      <c r="BC23" s="280"/>
      <c r="BD23" s="246">
        <f t="shared" si="1"/>
        <v>742</v>
      </c>
      <c r="BE23" s="246">
        <f t="shared" si="2"/>
        <v>2968</v>
      </c>
      <c r="BF23" s="513">
        <v>43840</v>
      </c>
      <c r="BG23" s="513">
        <v>43845</v>
      </c>
      <c r="BH23" s="519">
        <v>498</v>
      </c>
      <c r="BI23" s="513">
        <v>43846</v>
      </c>
      <c r="BJ23" s="519">
        <v>746</v>
      </c>
      <c r="BK23" s="514" t="s">
        <v>2263</v>
      </c>
      <c r="BL23" s="513"/>
      <c r="BM23" s="513"/>
      <c r="BN23" s="519"/>
      <c r="BO23" s="513"/>
      <c r="BP23" s="519"/>
      <c r="BQ23" s="514"/>
      <c r="BR23" s="277"/>
      <c r="BS23" s="278"/>
    </row>
    <row r="24" spans="1:71" ht="86.25" x14ac:dyDescent="0.4">
      <c r="A24" s="488"/>
      <c r="B24" s="263" t="s">
        <v>393</v>
      </c>
      <c r="C24" s="235" t="s">
        <v>833</v>
      </c>
      <c r="D24" s="263" t="s">
        <v>918</v>
      </c>
      <c r="E24" s="235" t="s">
        <v>403</v>
      </c>
      <c r="F24" s="263" t="s">
        <v>919</v>
      </c>
      <c r="G24" s="263" t="s">
        <v>920</v>
      </c>
      <c r="H24" s="375" t="s">
        <v>404</v>
      </c>
      <c r="I24" s="263" t="s">
        <v>387</v>
      </c>
      <c r="J24" s="254" t="s">
        <v>921</v>
      </c>
      <c r="K24" s="263" t="s">
        <v>922</v>
      </c>
      <c r="L24" s="235" t="s">
        <v>923</v>
      </c>
      <c r="M24" s="263" t="s">
        <v>189</v>
      </c>
      <c r="N24" s="236" t="s">
        <v>390</v>
      </c>
      <c r="O24" s="263" t="s">
        <v>172</v>
      </c>
      <c r="P24" s="263" t="s">
        <v>902</v>
      </c>
      <c r="Q24" s="240">
        <v>2015</v>
      </c>
      <c r="R24" s="272">
        <v>43101</v>
      </c>
      <c r="S24" s="273">
        <v>10</v>
      </c>
      <c r="T24" s="240" t="s">
        <v>841</v>
      </c>
      <c r="U24" s="257">
        <v>1</v>
      </c>
      <c r="V24" s="272">
        <v>43045</v>
      </c>
      <c r="W24" s="241" t="s">
        <v>924</v>
      </c>
      <c r="X24" s="272">
        <v>43159</v>
      </c>
      <c r="Y24" s="274">
        <v>43188</v>
      </c>
      <c r="Z24" s="275" t="s">
        <v>152</v>
      </c>
      <c r="AA24" s="272">
        <v>43189</v>
      </c>
      <c r="AB24" s="260" t="s">
        <v>854</v>
      </c>
      <c r="AC24" s="272">
        <v>43190</v>
      </c>
      <c r="AD24" s="272">
        <v>43291</v>
      </c>
      <c r="AE24" s="279">
        <f t="shared" si="3"/>
        <v>1</v>
      </c>
      <c r="AF24" s="279">
        <f t="shared" si="0"/>
        <v>101</v>
      </c>
      <c r="AG24" s="263" t="s">
        <v>845</v>
      </c>
      <c r="AH24" s="237"/>
      <c r="AI24" s="237"/>
      <c r="AJ24" s="237"/>
      <c r="AK24" s="237"/>
      <c r="AL24" s="276" t="s">
        <v>845</v>
      </c>
      <c r="AM24" s="276" t="s">
        <v>845</v>
      </c>
      <c r="AN24" s="276" t="s">
        <v>845</v>
      </c>
      <c r="AO24" s="276" t="s">
        <v>845</v>
      </c>
      <c r="AP24" s="276" t="s">
        <v>845</v>
      </c>
      <c r="AQ24" s="276">
        <v>352</v>
      </c>
      <c r="AR24" s="276">
        <v>363</v>
      </c>
      <c r="AS24" s="276">
        <v>363</v>
      </c>
      <c r="AT24" s="276"/>
      <c r="AU24" s="276"/>
      <c r="AV24" s="276"/>
      <c r="AW24" s="276"/>
      <c r="AX24" s="276"/>
      <c r="AY24" s="280"/>
      <c r="AZ24" s="280"/>
      <c r="BA24" s="280"/>
      <c r="BB24" s="280"/>
      <c r="BC24" s="280"/>
      <c r="BD24" s="246">
        <f t="shared" si="1"/>
        <v>359.33333333333331</v>
      </c>
      <c r="BE24" s="246">
        <f t="shared" si="2"/>
        <v>1078</v>
      </c>
      <c r="BF24" s="513">
        <v>43840</v>
      </c>
      <c r="BG24" s="513">
        <v>43845</v>
      </c>
      <c r="BH24" s="519">
        <v>30</v>
      </c>
      <c r="BI24" s="513">
        <v>43847</v>
      </c>
      <c r="BJ24" s="519">
        <v>116</v>
      </c>
      <c r="BK24" s="514" t="s">
        <v>2262</v>
      </c>
      <c r="BL24" s="513"/>
      <c r="BM24" s="513"/>
      <c r="BN24" s="519"/>
      <c r="BO24" s="513"/>
      <c r="BP24" s="519"/>
      <c r="BQ24" s="514"/>
      <c r="BR24" s="277"/>
      <c r="BS24" s="278"/>
    </row>
    <row r="25" spans="1:71" ht="155.25" x14ac:dyDescent="0.4">
      <c r="A25" s="488"/>
      <c r="B25" s="263" t="s">
        <v>1969</v>
      </c>
      <c r="C25" s="263" t="s">
        <v>2312</v>
      </c>
      <c r="D25" s="263" t="s">
        <v>1431</v>
      </c>
      <c r="E25" s="235" t="s">
        <v>403</v>
      </c>
      <c r="F25" s="263" t="s">
        <v>1970</v>
      </c>
      <c r="G25" s="263" t="s">
        <v>1971</v>
      </c>
      <c r="H25" s="236" t="s">
        <v>413</v>
      </c>
      <c r="I25" s="263" t="s">
        <v>1972</v>
      </c>
      <c r="J25" s="254" t="s">
        <v>1973</v>
      </c>
      <c r="K25" s="263" t="s">
        <v>1974</v>
      </c>
      <c r="L25" s="235" t="s">
        <v>1975</v>
      </c>
      <c r="M25" s="263" t="s">
        <v>189</v>
      </c>
      <c r="N25" s="236" t="s">
        <v>1873</v>
      </c>
      <c r="O25" s="263" t="s">
        <v>172</v>
      </c>
      <c r="P25" s="263" t="s">
        <v>1968</v>
      </c>
      <c r="Q25" s="240">
        <v>2016</v>
      </c>
      <c r="R25" s="272">
        <v>43192</v>
      </c>
      <c r="S25" s="273">
        <v>10</v>
      </c>
      <c r="T25" s="240" t="s">
        <v>841</v>
      </c>
      <c r="U25" s="257">
        <v>1</v>
      </c>
      <c r="V25" s="272">
        <v>42661</v>
      </c>
      <c r="W25" s="374" t="s">
        <v>1976</v>
      </c>
      <c r="X25" s="272">
        <v>43344</v>
      </c>
      <c r="Y25" s="274">
        <v>43373</v>
      </c>
      <c r="Z25" s="275" t="s">
        <v>152</v>
      </c>
      <c r="AA25" s="272">
        <v>43441</v>
      </c>
      <c r="AB25" s="263" t="s">
        <v>1977</v>
      </c>
      <c r="AC25" s="272">
        <v>43441</v>
      </c>
      <c r="AD25" s="272">
        <v>43531</v>
      </c>
      <c r="AE25" s="279">
        <f t="shared" si="3"/>
        <v>0</v>
      </c>
      <c r="AF25" s="279">
        <f t="shared" si="0"/>
        <v>90</v>
      </c>
      <c r="AG25" s="263"/>
      <c r="AH25" s="237"/>
      <c r="AI25" s="237"/>
      <c r="AJ25" s="237"/>
      <c r="AK25" s="237"/>
      <c r="AL25" s="276" t="s">
        <v>845</v>
      </c>
      <c r="AM25" s="276" t="s">
        <v>845</v>
      </c>
      <c r="AN25" s="276" t="s">
        <v>845</v>
      </c>
      <c r="AO25" s="276" t="s">
        <v>845</v>
      </c>
      <c r="AP25" s="276" t="s">
        <v>845</v>
      </c>
      <c r="AQ25" s="276">
        <v>314</v>
      </c>
      <c r="AR25" s="276">
        <v>417</v>
      </c>
      <c r="AS25" s="276">
        <v>414</v>
      </c>
      <c r="AT25" s="280">
        <v>411</v>
      </c>
      <c r="AU25" s="280">
        <v>408</v>
      </c>
      <c r="AV25" s="280">
        <v>405</v>
      </c>
      <c r="AW25" s="280">
        <v>402</v>
      </c>
      <c r="AX25" s="280">
        <v>399</v>
      </c>
      <c r="AY25" s="280">
        <v>397</v>
      </c>
      <c r="AZ25" s="280">
        <v>394</v>
      </c>
      <c r="BA25" s="280">
        <v>98</v>
      </c>
      <c r="BB25" s="280"/>
      <c r="BC25" s="280"/>
      <c r="BD25" s="246">
        <f t="shared" si="1"/>
        <v>369</v>
      </c>
      <c r="BE25" s="246">
        <f t="shared" si="2"/>
        <v>4059</v>
      </c>
      <c r="BF25" s="513"/>
      <c r="BG25" s="513"/>
      <c r="BH25" s="519"/>
      <c r="BI25" s="513"/>
      <c r="BJ25" s="519"/>
      <c r="BK25" s="514"/>
      <c r="BL25" s="513"/>
      <c r="BM25" s="513"/>
      <c r="BN25" s="519"/>
      <c r="BO25" s="513"/>
      <c r="BP25" s="519"/>
      <c r="BQ25" s="514"/>
      <c r="BR25" s="277"/>
      <c r="BS25" s="278"/>
    </row>
    <row r="26" spans="1:71" ht="138" x14ac:dyDescent="0.4">
      <c r="A26" s="488"/>
      <c r="B26" s="263" t="s">
        <v>1978</v>
      </c>
      <c r="C26" s="263" t="s">
        <v>2312</v>
      </c>
      <c r="D26" s="263" t="s">
        <v>1546</v>
      </c>
      <c r="E26" s="235" t="s">
        <v>403</v>
      </c>
      <c r="F26" s="263" t="s">
        <v>1979</v>
      </c>
      <c r="G26" s="263" t="s">
        <v>1204</v>
      </c>
      <c r="H26" s="236" t="s">
        <v>167</v>
      </c>
      <c r="I26" s="263" t="s">
        <v>1972</v>
      </c>
      <c r="J26" s="254" t="s">
        <v>1980</v>
      </c>
      <c r="K26" s="237" t="s">
        <v>1981</v>
      </c>
      <c r="L26" s="263" t="s">
        <v>1975</v>
      </c>
      <c r="M26" s="263" t="s">
        <v>189</v>
      </c>
      <c r="N26" s="269" t="s">
        <v>1873</v>
      </c>
      <c r="O26" s="263" t="s">
        <v>172</v>
      </c>
      <c r="P26" s="263" t="s">
        <v>1968</v>
      </c>
      <c r="Q26" s="240">
        <v>2015</v>
      </c>
      <c r="R26" s="272">
        <v>43191</v>
      </c>
      <c r="S26" s="273">
        <v>17</v>
      </c>
      <c r="T26" s="273" t="s">
        <v>894</v>
      </c>
      <c r="U26" s="257">
        <v>1</v>
      </c>
      <c r="V26" s="272">
        <v>43060</v>
      </c>
      <c r="W26" s="374" t="s">
        <v>1982</v>
      </c>
      <c r="X26" s="272">
        <v>43344</v>
      </c>
      <c r="Y26" s="274">
        <v>43373</v>
      </c>
      <c r="Z26" s="275" t="s">
        <v>152</v>
      </c>
      <c r="AA26" s="272">
        <v>43399</v>
      </c>
      <c r="AB26" s="263" t="s">
        <v>1983</v>
      </c>
      <c r="AC26" s="272">
        <v>43431</v>
      </c>
      <c r="AD26" s="272">
        <v>43531</v>
      </c>
      <c r="AE26" s="279">
        <f t="shared" si="3"/>
        <v>32</v>
      </c>
      <c r="AF26" s="279">
        <f t="shared" si="0"/>
        <v>100</v>
      </c>
      <c r="AG26" s="263"/>
      <c r="AH26" s="237"/>
      <c r="AI26" s="237"/>
      <c r="AJ26" s="237"/>
      <c r="AK26" s="237"/>
      <c r="AL26" s="276" t="s">
        <v>845</v>
      </c>
      <c r="AM26" s="276" t="s">
        <v>845</v>
      </c>
      <c r="AN26" s="276" t="s">
        <v>845</v>
      </c>
      <c r="AO26" s="276" t="s">
        <v>845</v>
      </c>
      <c r="AP26" s="276" t="s">
        <v>845</v>
      </c>
      <c r="AQ26" s="276">
        <v>689</v>
      </c>
      <c r="AR26" s="276">
        <v>917</v>
      </c>
      <c r="AS26" s="276">
        <v>917</v>
      </c>
      <c r="AT26" s="280">
        <v>917</v>
      </c>
      <c r="AU26" s="280">
        <v>917</v>
      </c>
      <c r="AV26" s="280">
        <v>917</v>
      </c>
      <c r="AW26" s="280">
        <v>917</v>
      </c>
      <c r="AX26" s="280">
        <v>917</v>
      </c>
      <c r="AY26" s="280">
        <v>917</v>
      </c>
      <c r="AZ26" s="280">
        <v>917</v>
      </c>
      <c r="BA26" s="280">
        <v>917</v>
      </c>
      <c r="BB26" s="280">
        <v>917</v>
      </c>
      <c r="BC26" s="280">
        <v>917</v>
      </c>
      <c r="BD26" s="246">
        <f t="shared" si="1"/>
        <v>899.46153846153845</v>
      </c>
      <c r="BE26" s="246">
        <f t="shared" si="2"/>
        <v>11693</v>
      </c>
      <c r="BF26" s="513"/>
      <c r="BG26" s="513"/>
      <c r="BH26" s="519"/>
      <c r="BI26" s="513"/>
      <c r="BJ26" s="519"/>
      <c r="BK26" s="514"/>
      <c r="BL26" s="513"/>
      <c r="BM26" s="513"/>
      <c r="BN26" s="519"/>
      <c r="BO26" s="513"/>
      <c r="BP26" s="519"/>
      <c r="BQ26" s="514"/>
      <c r="BR26" s="277"/>
      <c r="BS26" s="278"/>
    </row>
    <row r="27" spans="1:71" ht="120.75" x14ac:dyDescent="0.4">
      <c r="A27" s="488"/>
      <c r="B27" s="263" t="s">
        <v>410</v>
      </c>
      <c r="C27" s="263" t="s">
        <v>2312</v>
      </c>
      <c r="D27" s="263" t="s">
        <v>1984</v>
      </c>
      <c r="E27" s="235" t="s">
        <v>403</v>
      </c>
      <c r="F27" s="263" t="s">
        <v>1985</v>
      </c>
      <c r="G27" s="263" t="s">
        <v>355</v>
      </c>
      <c r="H27" s="375" t="s">
        <v>404</v>
      </c>
      <c r="I27" s="263" t="s">
        <v>1776</v>
      </c>
      <c r="J27" s="254" t="s">
        <v>1986</v>
      </c>
      <c r="K27" s="254" t="s">
        <v>1987</v>
      </c>
      <c r="L27" s="263" t="s">
        <v>1988</v>
      </c>
      <c r="M27" s="263" t="s">
        <v>1989</v>
      </c>
      <c r="N27" s="269" t="s">
        <v>1990</v>
      </c>
      <c r="O27" s="263" t="s">
        <v>172</v>
      </c>
      <c r="P27" s="263" t="s">
        <v>840</v>
      </c>
      <c r="Q27" s="240" t="s">
        <v>418</v>
      </c>
      <c r="R27" s="272">
        <v>43070</v>
      </c>
      <c r="S27" s="273">
        <v>9</v>
      </c>
      <c r="T27" s="240" t="s">
        <v>841</v>
      </c>
      <c r="U27" s="257">
        <v>1</v>
      </c>
      <c r="V27" s="272">
        <v>43165</v>
      </c>
      <c r="W27" s="374" t="s">
        <v>1991</v>
      </c>
      <c r="X27" s="272">
        <v>43448</v>
      </c>
      <c r="Y27" s="274">
        <v>43477</v>
      </c>
      <c r="Z27" s="275" t="s">
        <v>152</v>
      </c>
      <c r="AA27" s="272">
        <v>43532</v>
      </c>
      <c r="AB27" s="263" t="s">
        <v>1992</v>
      </c>
      <c r="AC27" s="272">
        <v>43543</v>
      </c>
      <c r="AD27" s="272">
        <v>43594</v>
      </c>
      <c r="AE27" s="279">
        <f t="shared" si="3"/>
        <v>11</v>
      </c>
      <c r="AF27" s="442">
        <f t="shared" si="0"/>
        <v>51</v>
      </c>
      <c r="AG27" s="263"/>
      <c r="AH27" s="237"/>
      <c r="AI27" s="237"/>
      <c r="AJ27" s="237"/>
      <c r="AK27" s="237"/>
      <c r="AL27" s="276" t="s">
        <v>845</v>
      </c>
      <c r="AM27" s="276" t="s">
        <v>845</v>
      </c>
      <c r="AN27" s="276" t="s">
        <v>845</v>
      </c>
      <c r="AO27" s="276" t="s">
        <v>845</v>
      </c>
      <c r="AP27" s="276">
        <v>1816</v>
      </c>
      <c r="AQ27" s="276">
        <v>21793</v>
      </c>
      <c r="AR27" s="276">
        <v>21793</v>
      </c>
      <c r="AS27" s="276">
        <v>21793</v>
      </c>
      <c r="AT27" s="280">
        <v>21793</v>
      </c>
      <c r="AU27" s="280">
        <v>21793</v>
      </c>
      <c r="AV27" s="280">
        <v>21793</v>
      </c>
      <c r="AW27" s="280">
        <v>21793</v>
      </c>
      <c r="AX27" s="280">
        <v>21793</v>
      </c>
      <c r="AY27" s="280">
        <v>19977</v>
      </c>
      <c r="AZ27" s="280"/>
      <c r="BA27" s="280"/>
      <c r="BB27" s="280"/>
      <c r="BC27" s="280"/>
      <c r="BD27" s="246">
        <f t="shared" si="1"/>
        <v>19613.7</v>
      </c>
      <c r="BE27" s="246">
        <f t="shared" si="2"/>
        <v>196137</v>
      </c>
      <c r="BF27" s="513"/>
      <c r="BG27" s="513"/>
      <c r="BH27" s="519"/>
      <c r="BI27" s="513"/>
      <c r="BJ27" s="519"/>
      <c r="BK27" s="514"/>
      <c r="BL27" s="513"/>
      <c r="BM27" s="513"/>
      <c r="BN27" s="519"/>
      <c r="BO27" s="513"/>
      <c r="BP27" s="519"/>
      <c r="BQ27" s="514"/>
      <c r="BR27" s="277"/>
      <c r="BS27" s="278"/>
    </row>
    <row r="28" spans="1:71" ht="86.25" x14ac:dyDescent="0.4">
      <c r="A28" s="488"/>
      <c r="B28" s="263" t="s">
        <v>1993</v>
      </c>
      <c r="C28" s="263" t="s">
        <v>2312</v>
      </c>
      <c r="D28" s="263" t="s">
        <v>1994</v>
      </c>
      <c r="E28" s="235" t="s">
        <v>403</v>
      </c>
      <c r="F28" s="263" t="s">
        <v>1995</v>
      </c>
      <c r="G28" s="263" t="s">
        <v>1445</v>
      </c>
      <c r="H28" s="375" t="s">
        <v>404</v>
      </c>
      <c r="I28" s="263" t="s">
        <v>428</v>
      </c>
      <c r="J28" s="254" t="s">
        <v>1996</v>
      </c>
      <c r="K28" s="254" t="s">
        <v>1997</v>
      </c>
      <c r="L28" s="263" t="s">
        <v>1998</v>
      </c>
      <c r="M28" s="263" t="s">
        <v>1999</v>
      </c>
      <c r="N28" s="269" t="s">
        <v>915</v>
      </c>
      <c r="O28" s="260" t="s">
        <v>153</v>
      </c>
      <c r="P28" s="263" t="s">
        <v>840</v>
      </c>
      <c r="Q28" s="274">
        <v>42548</v>
      </c>
      <c r="R28" s="272">
        <v>43282</v>
      </c>
      <c r="S28" s="273">
        <v>7</v>
      </c>
      <c r="T28" s="240" t="s">
        <v>841</v>
      </c>
      <c r="U28" s="257">
        <v>1</v>
      </c>
      <c r="V28" s="272"/>
      <c r="W28" s="374" t="s">
        <v>2000</v>
      </c>
      <c r="X28" s="272">
        <v>43460</v>
      </c>
      <c r="Y28" s="274">
        <v>43489</v>
      </c>
      <c r="Z28" s="275" t="s">
        <v>152</v>
      </c>
      <c r="AA28" s="272">
        <v>43523</v>
      </c>
      <c r="AB28" s="263" t="s">
        <v>1992</v>
      </c>
      <c r="AC28" s="272">
        <v>43530</v>
      </c>
      <c r="AD28" s="272">
        <v>43711</v>
      </c>
      <c r="AE28" s="279">
        <f t="shared" si="3"/>
        <v>7</v>
      </c>
      <c r="AF28" s="442">
        <f t="shared" si="0"/>
        <v>181</v>
      </c>
      <c r="AG28" s="263"/>
      <c r="AH28" s="237"/>
      <c r="AI28" s="237"/>
      <c r="AJ28" s="237"/>
      <c r="AK28" s="237"/>
      <c r="AL28" s="276" t="s">
        <v>845</v>
      </c>
      <c r="AM28" s="276" t="s">
        <v>845</v>
      </c>
      <c r="AN28" s="276" t="s">
        <v>845</v>
      </c>
      <c r="AO28" s="276" t="s">
        <v>845</v>
      </c>
      <c r="AP28" s="276" t="s">
        <v>845</v>
      </c>
      <c r="AQ28" s="276">
        <v>215</v>
      </c>
      <c r="AR28" s="276">
        <v>430</v>
      </c>
      <c r="AS28" s="276">
        <v>430</v>
      </c>
      <c r="AT28" s="280">
        <v>430</v>
      </c>
      <c r="AU28" s="280">
        <v>430</v>
      </c>
      <c r="AV28" s="280">
        <v>430</v>
      </c>
      <c r="AW28" s="280">
        <v>430</v>
      </c>
      <c r="AX28" s="280">
        <v>215</v>
      </c>
      <c r="AY28" s="280"/>
      <c r="AZ28" s="280"/>
      <c r="BA28" s="280"/>
      <c r="BB28" s="280"/>
      <c r="BC28" s="280"/>
      <c r="BD28" s="246">
        <f t="shared" si="1"/>
        <v>376.25</v>
      </c>
      <c r="BE28" s="246">
        <f t="shared" si="2"/>
        <v>3010</v>
      </c>
      <c r="BF28" s="513"/>
      <c r="BG28" s="513"/>
      <c r="BH28" s="519"/>
      <c r="BI28" s="513"/>
      <c r="BJ28" s="519"/>
      <c r="BK28" s="514"/>
      <c r="BL28" s="513"/>
      <c r="BM28" s="513"/>
      <c r="BN28" s="519"/>
      <c r="BO28" s="513"/>
      <c r="BP28" s="519"/>
      <c r="BQ28" s="514"/>
      <c r="BR28" s="277"/>
      <c r="BS28" s="278"/>
    </row>
    <row r="29" spans="1:71" ht="86.25" x14ac:dyDescent="0.4">
      <c r="A29" s="488"/>
      <c r="B29" s="263" t="s">
        <v>2001</v>
      </c>
      <c r="C29" s="263" t="s">
        <v>2312</v>
      </c>
      <c r="D29" s="263" t="s">
        <v>2002</v>
      </c>
      <c r="E29" s="235" t="s">
        <v>403</v>
      </c>
      <c r="F29" s="263" t="s">
        <v>2003</v>
      </c>
      <c r="G29" s="263" t="s">
        <v>2004</v>
      </c>
      <c r="H29" s="375" t="s">
        <v>404</v>
      </c>
      <c r="I29" s="263" t="s">
        <v>2005</v>
      </c>
      <c r="J29" s="254" t="s">
        <v>2006</v>
      </c>
      <c r="K29" s="254" t="s">
        <v>2007</v>
      </c>
      <c r="L29" s="263" t="s">
        <v>2008</v>
      </c>
      <c r="M29" s="263" t="s">
        <v>364</v>
      </c>
      <c r="N29" s="269" t="s">
        <v>1802</v>
      </c>
      <c r="O29" s="263" t="s">
        <v>172</v>
      </c>
      <c r="P29" s="263" t="s">
        <v>840</v>
      </c>
      <c r="Q29" s="274">
        <v>42185</v>
      </c>
      <c r="R29" s="274">
        <v>42675</v>
      </c>
      <c r="S29" s="273">
        <v>9</v>
      </c>
      <c r="T29" s="240" t="s">
        <v>841</v>
      </c>
      <c r="U29" s="257">
        <v>1</v>
      </c>
      <c r="V29" s="272"/>
      <c r="W29" s="374" t="s">
        <v>2009</v>
      </c>
      <c r="X29" s="272">
        <v>43515</v>
      </c>
      <c r="Y29" s="274">
        <v>43544</v>
      </c>
      <c r="Z29" s="275" t="s">
        <v>152</v>
      </c>
      <c r="AA29" s="272">
        <v>43732</v>
      </c>
      <c r="AB29" s="263" t="s">
        <v>1977</v>
      </c>
      <c r="AC29" s="272">
        <v>43740</v>
      </c>
      <c r="AD29" s="272">
        <v>43747</v>
      </c>
      <c r="AE29" s="279">
        <f t="shared" si="3"/>
        <v>8</v>
      </c>
      <c r="AF29" s="442">
        <f t="shared" si="0"/>
        <v>7</v>
      </c>
      <c r="AG29" s="263"/>
      <c r="AH29" s="237"/>
      <c r="AI29" s="237"/>
      <c r="AJ29" s="237"/>
      <c r="AK29" s="237"/>
      <c r="AL29" s="276" t="s">
        <v>845</v>
      </c>
      <c r="AM29" s="276" t="s">
        <v>845</v>
      </c>
      <c r="AN29" s="276" t="s">
        <v>845</v>
      </c>
      <c r="AO29" s="276">
        <v>104</v>
      </c>
      <c r="AP29" s="276">
        <v>911</v>
      </c>
      <c r="AQ29" s="276">
        <v>480</v>
      </c>
      <c r="AR29" s="276">
        <v>480</v>
      </c>
      <c r="AS29" s="276">
        <v>911</v>
      </c>
      <c r="AT29" s="280">
        <v>960</v>
      </c>
      <c r="AU29" s="280">
        <v>911</v>
      </c>
      <c r="AV29" s="280">
        <v>911</v>
      </c>
      <c r="AW29" s="280">
        <v>960</v>
      </c>
      <c r="AX29" s="280">
        <v>759</v>
      </c>
      <c r="AY29" s="280"/>
      <c r="AZ29" s="280"/>
      <c r="BA29" s="280"/>
      <c r="BB29" s="280"/>
      <c r="BC29" s="280"/>
      <c r="BD29" s="246">
        <f t="shared" si="1"/>
        <v>738.7</v>
      </c>
      <c r="BE29" s="246">
        <f t="shared" si="2"/>
        <v>7387</v>
      </c>
      <c r="BF29" s="513"/>
      <c r="BG29" s="513"/>
      <c r="BH29" s="519"/>
      <c r="BI29" s="513"/>
      <c r="BJ29" s="519"/>
      <c r="BK29" s="514"/>
      <c r="BL29" s="513"/>
      <c r="BM29" s="513"/>
      <c r="BN29" s="519"/>
      <c r="BO29" s="513"/>
      <c r="BP29" s="519"/>
      <c r="BQ29" s="514"/>
      <c r="BR29" s="277"/>
      <c r="BS29" s="278"/>
    </row>
    <row r="30" spans="1:71" ht="103.5" x14ac:dyDescent="0.4">
      <c r="A30" s="488"/>
      <c r="B30" s="263" t="s">
        <v>2010</v>
      </c>
      <c r="C30" s="263" t="s">
        <v>2312</v>
      </c>
      <c r="D30" s="263" t="s">
        <v>1560</v>
      </c>
      <c r="E30" s="235" t="s">
        <v>403</v>
      </c>
      <c r="F30" s="263" t="s">
        <v>2011</v>
      </c>
      <c r="G30" s="263" t="s">
        <v>2012</v>
      </c>
      <c r="H30" s="375" t="s">
        <v>404</v>
      </c>
      <c r="I30" s="263" t="s">
        <v>428</v>
      </c>
      <c r="J30" s="254" t="s">
        <v>2013</v>
      </c>
      <c r="K30" s="254" t="s">
        <v>2409</v>
      </c>
      <c r="L30" s="263" t="s">
        <v>2008</v>
      </c>
      <c r="M30" s="263" t="s">
        <v>364</v>
      </c>
      <c r="N30" s="269" t="s">
        <v>1802</v>
      </c>
      <c r="O30" s="263" t="s">
        <v>172</v>
      </c>
      <c r="P30" s="263" t="s">
        <v>840</v>
      </c>
      <c r="Q30" s="274">
        <v>42381</v>
      </c>
      <c r="R30" s="272">
        <v>42552</v>
      </c>
      <c r="S30" s="273">
        <v>9</v>
      </c>
      <c r="T30" s="240" t="s">
        <v>841</v>
      </c>
      <c r="U30" s="257">
        <v>1</v>
      </c>
      <c r="V30" s="272"/>
      <c r="W30" s="374" t="s">
        <v>2014</v>
      </c>
      <c r="X30" s="272">
        <v>43549</v>
      </c>
      <c r="Y30" s="274">
        <v>43578</v>
      </c>
      <c r="Z30" s="275" t="s">
        <v>152</v>
      </c>
      <c r="AA30" s="272">
        <v>43613</v>
      </c>
      <c r="AB30" s="263" t="s">
        <v>1977</v>
      </c>
      <c r="AC30" s="272">
        <v>43628</v>
      </c>
      <c r="AD30" s="272">
        <v>43711</v>
      </c>
      <c r="AE30" s="279">
        <f t="shared" si="3"/>
        <v>15</v>
      </c>
      <c r="AF30" s="442">
        <f t="shared" si="0"/>
        <v>83</v>
      </c>
      <c r="AG30" s="263"/>
      <c r="AH30" s="237"/>
      <c r="AI30" s="237"/>
      <c r="AJ30" s="237"/>
      <c r="AK30" s="237"/>
      <c r="AL30" s="276" t="s">
        <v>845</v>
      </c>
      <c r="AM30" s="276" t="s">
        <v>845</v>
      </c>
      <c r="AN30" s="276" t="s">
        <v>845</v>
      </c>
      <c r="AO30" s="276">
        <v>59</v>
      </c>
      <c r="AP30" s="276">
        <v>148</v>
      </c>
      <c r="AQ30" s="276">
        <v>148</v>
      </c>
      <c r="AR30" s="276">
        <v>148</v>
      </c>
      <c r="AS30" s="276">
        <v>148</v>
      </c>
      <c r="AT30" s="280">
        <v>148</v>
      </c>
      <c r="AU30" s="280">
        <v>148</v>
      </c>
      <c r="AV30" s="280">
        <v>148</v>
      </c>
      <c r="AW30" s="280">
        <v>148</v>
      </c>
      <c r="AX30" s="280">
        <v>74</v>
      </c>
      <c r="AY30" s="280"/>
      <c r="AZ30" s="280"/>
      <c r="BA30" s="280"/>
      <c r="BB30" s="280"/>
      <c r="BC30" s="280"/>
      <c r="BD30" s="246">
        <f t="shared" si="1"/>
        <v>131.69999999999999</v>
      </c>
      <c r="BE30" s="246">
        <f t="shared" si="2"/>
        <v>1317</v>
      </c>
      <c r="BF30" s="513"/>
      <c r="BG30" s="513"/>
      <c r="BH30" s="519"/>
      <c r="BI30" s="513"/>
      <c r="BJ30" s="519"/>
      <c r="BK30" s="514"/>
      <c r="BL30" s="513"/>
      <c r="BM30" s="513"/>
      <c r="BN30" s="519"/>
      <c r="BO30" s="513"/>
      <c r="BP30" s="519"/>
      <c r="BQ30" s="514"/>
      <c r="BR30" s="277"/>
      <c r="BS30" s="278"/>
    </row>
    <row r="31" spans="1:71" ht="207" x14ac:dyDescent="0.4">
      <c r="A31" s="488"/>
      <c r="B31" s="263" t="s">
        <v>2384</v>
      </c>
      <c r="C31" s="263" t="s">
        <v>2391</v>
      </c>
      <c r="D31" s="263" t="s">
        <v>1295</v>
      </c>
      <c r="E31" s="263" t="s">
        <v>403</v>
      </c>
      <c r="F31" s="263" t="s">
        <v>2389</v>
      </c>
      <c r="G31" s="263" t="s">
        <v>1214</v>
      </c>
      <c r="H31" s="562" t="s">
        <v>404</v>
      </c>
      <c r="I31" s="263" t="s">
        <v>428</v>
      </c>
      <c r="J31" s="254" t="s">
        <v>2417</v>
      </c>
      <c r="K31" s="254" t="s">
        <v>2408</v>
      </c>
      <c r="L31" s="263" t="s">
        <v>2390</v>
      </c>
      <c r="M31" s="263" t="s">
        <v>2412</v>
      </c>
      <c r="N31" s="269" t="s">
        <v>2410</v>
      </c>
      <c r="O31" s="263" t="s">
        <v>2404</v>
      </c>
      <c r="P31" s="263" t="s">
        <v>840</v>
      </c>
      <c r="Q31" s="500">
        <v>43076</v>
      </c>
      <c r="R31" s="272">
        <v>43529</v>
      </c>
      <c r="S31" s="273">
        <v>8</v>
      </c>
      <c r="T31" s="240" t="s">
        <v>841</v>
      </c>
      <c r="U31" s="257">
        <v>1</v>
      </c>
      <c r="V31" s="272">
        <v>43418</v>
      </c>
      <c r="W31" s="374" t="s">
        <v>2416</v>
      </c>
      <c r="X31" s="272">
        <v>43845</v>
      </c>
      <c r="Y31" s="274">
        <v>43874</v>
      </c>
      <c r="Z31" s="275"/>
      <c r="AA31" s="272">
        <v>43895</v>
      </c>
      <c r="AB31" s="263" t="s">
        <v>2418</v>
      </c>
      <c r="AC31" s="272">
        <v>43896</v>
      </c>
      <c r="AD31" s="272">
        <v>43920</v>
      </c>
      <c r="AE31" s="279">
        <f>AC31-AA31</f>
        <v>1</v>
      </c>
      <c r="AF31" s="442">
        <f t="shared" si="0"/>
        <v>24</v>
      </c>
      <c r="AG31" s="263"/>
      <c r="AH31" s="237"/>
      <c r="AI31" s="237"/>
      <c r="AJ31" s="237"/>
      <c r="AK31" s="237"/>
      <c r="AL31" s="276" t="s">
        <v>845</v>
      </c>
      <c r="AM31" s="276" t="s">
        <v>845</v>
      </c>
      <c r="AN31" s="276" t="s">
        <v>845</v>
      </c>
      <c r="AO31" s="276" t="s">
        <v>845</v>
      </c>
      <c r="AP31" s="276" t="s">
        <v>845</v>
      </c>
      <c r="AQ31" s="276" t="s">
        <v>845</v>
      </c>
      <c r="AR31" s="276">
        <v>366</v>
      </c>
      <c r="AS31" s="276">
        <v>608</v>
      </c>
      <c r="AT31" s="280">
        <v>682</v>
      </c>
      <c r="AU31" s="280">
        <v>712</v>
      </c>
      <c r="AV31" s="280">
        <v>712</v>
      </c>
      <c r="AW31" s="280">
        <v>712</v>
      </c>
      <c r="AX31" s="280">
        <v>712</v>
      </c>
      <c r="AY31" s="280">
        <v>712</v>
      </c>
      <c r="AZ31" s="280">
        <v>118</v>
      </c>
      <c r="BA31" s="280"/>
      <c r="BB31" s="280"/>
      <c r="BC31" s="280"/>
      <c r="BD31" s="246">
        <f t="shared" ref="BD31" si="4">BE31/COUNT(AL31:BC31)</f>
        <v>592.66666666666663</v>
      </c>
      <c r="BE31" s="246">
        <f t="shared" ref="BE31" si="5">SUM(AL31:BC31)</f>
        <v>5334</v>
      </c>
      <c r="BF31" s="513"/>
      <c r="BG31" s="513"/>
      <c r="BH31" s="519"/>
      <c r="BI31" s="513"/>
      <c r="BJ31" s="519"/>
      <c r="BK31" s="514"/>
      <c r="BL31" s="513"/>
      <c r="BM31" s="513"/>
      <c r="BN31" s="519"/>
      <c r="BO31" s="513"/>
      <c r="BP31" s="519"/>
      <c r="BQ31" s="514"/>
      <c r="BR31" s="277"/>
      <c r="BS31" s="278"/>
    </row>
    <row r="32" spans="1:71" ht="120.75" x14ac:dyDescent="0.4">
      <c r="A32" s="488"/>
      <c r="B32" s="263" t="s">
        <v>2015</v>
      </c>
      <c r="C32" s="263" t="s">
        <v>2312</v>
      </c>
      <c r="D32" s="263" t="s">
        <v>2016</v>
      </c>
      <c r="E32" s="263" t="s">
        <v>2017</v>
      </c>
      <c r="F32" s="263" t="s">
        <v>2018</v>
      </c>
      <c r="G32" s="263" t="s">
        <v>2019</v>
      </c>
      <c r="H32" s="236" t="s">
        <v>413</v>
      </c>
      <c r="I32" s="263" t="s">
        <v>2020</v>
      </c>
      <c r="J32" s="254" t="s">
        <v>2021</v>
      </c>
      <c r="K32" s="254" t="s">
        <v>2022</v>
      </c>
      <c r="L32" s="263" t="s">
        <v>2023</v>
      </c>
      <c r="M32" s="263" t="s">
        <v>189</v>
      </c>
      <c r="N32" s="269" t="s">
        <v>2024</v>
      </c>
      <c r="O32" s="263" t="s">
        <v>172</v>
      </c>
      <c r="P32" s="263" t="s">
        <v>902</v>
      </c>
      <c r="Q32" s="443" t="s">
        <v>418</v>
      </c>
      <c r="R32" s="272">
        <v>43373</v>
      </c>
      <c r="S32" s="273">
        <v>9</v>
      </c>
      <c r="T32" s="240" t="s">
        <v>894</v>
      </c>
      <c r="U32" s="257">
        <v>3</v>
      </c>
      <c r="V32" s="272" t="s">
        <v>2025</v>
      </c>
      <c r="W32" s="374" t="s">
        <v>2026</v>
      </c>
      <c r="X32" s="272">
        <v>42795</v>
      </c>
      <c r="Y32" s="274">
        <v>42824</v>
      </c>
      <c r="Z32" s="275" t="s">
        <v>152</v>
      </c>
      <c r="AA32" s="272">
        <v>43416</v>
      </c>
      <c r="AB32" s="263" t="s">
        <v>2027</v>
      </c>
      <c r="AC32" s="272">
        <v>43426</v>
      </c>
      <c r="AD32" s="272">
        <v>43857</v>
      </c>
      <c r="AE32" s="279">
        <f t="shared" si="3"/>
        <v>10</v>
      </c>
      <c r="AF32" s="442">
        <f t="shared" si="0"/>
        <v>431</v>
      </c>
      <c r="AG32" s="263"/>
      <c r="AH32" s="237"/>
      <c r="AI32" s="237"/>
      <c r="AJ32" s="237"/>
      <c r="AK32" s="237"/>
      <c r="AL32" s="276" t="s">
        <v>845</v>
      </c>
      <c r="AM32" s="276" t="s">
        <v>845</v>
      </c>
      <c r="AN32" s="276" t="s">
        <v>845</v>
      </c>
      <c r="AO32" s="276" t="s">
        <v>845</v>
      </c>
      <c r="AP32" s="276" t="s">
        <v>845</v>
      </c>
      <c r="AQ32" s="276">
        <v>20</v>
      </c>
      <c r="AR32" s="276">
        <v>82</v>
      </c>
      <c r="AS32" s="276">
        <v>82</v>
      </c>
      <c r="AT32" s="280">
        <v>82</v>
      </c>
      <c r="AU32" s="280">
        <v>82</v>
      </c>
      <c r="AV32" s="280">
        <v>82</v>
      </c>
      <c r="AW32" s="280">
        <v>82</v>
      </c>
      <c r="AX32" s="280">
        <v>82</v>
      </c>
      <c r="AY32" s="280">
        <v>82</v>
      </c>
      <c r="AZ32" s="280"/>
      <c r="BA32" s="280"/>
      <c r="BB32" s="280"/>
      <c r="BC32" s="280"/>
      <c r="BD32" s="246">
        <f t="shared" si="1"/>
        <v>75.111111111111114</v>
      </c>
      <c r="BE32" s="246">
        <f>SUM(AL32:BC32)</f>
        <v>676</v>
      </c>
      <c r="BF32" s="513"/>
      <c r="BG32" s="513"/>
      <c r="BH32" s="519"/>
      <c r="BI32" s="513"/>
      <c r="BJ32" s="519"/>
      <c r="BK32" s="514"/>
      <c r="BL32" s="513"/>
      <c r="BM32" s="513"/>
      <c r="BN32" s="519"/>
      <c r="BO32" s="513"/>
      <c r="BP32" s="519"/>
      <c r="BQ32" s="514"/>
      <c r="BR32" s="277"/>
      <c r="BS32" s="278"/>
    </row>
    <row r="33" spans="1:71" ht="86.25" x14ac:dyDescent="0.4">
      <c r="A33" s="488"/>
      <c r="B33" s="263" t="s">
        <v>2028</v>
      </c>
      <c r="C33" s="263" t="s">
        <v>2312</v>
      </c>
      <c r="D33" s="263" t="s">
        <v>1552</v>
      </c>
      <c r="E33" s="263" t="s">
        <v>2017</v>
      </c>
      <c r="F33" s="263" t="s">
        <v>2029</v>
      </c>
      <c r="G33" s="263" t="s">
        <v>227</v>
      </c>
      <c r="H33" s="236" t="s">
        <v>413</v>
      </c>
      <c r="I33" s="263" t="s">
        <v>2020</v>
      </c>
      <c r="J33" s="254" t="s">
        <v>2030</v>
      </c>
      <c r="K33" s="254" t="s">
        <v>2031</v>
      </c>
      <c r="L33" s="263" t="s">
        <v>2032</v>
      </c>
      <c r="M33" s="263" t="s">
        <v>412</v>
      </c>
      <c r="N33" s="269" t="s">
        <v>1873</v>
      </c>
      <c r="O33" s="263" t="s">
        <v>172</v>
      </c>
      <c r="P33" s="263" t="s">
        <v>840</v>
      </c>
      <c r="Q33" s="274">
        <v>42381</v>
      </c>
      <c r="R33" s="272">
        <v>42718</v>
      </c>
      <c r="S33" s="273">
        <v>10</v>
      </c>
      <c r="T33" s="240" t="s">
        <v>894</v>
      </c>
      <c r="U33" s="257">
        <v>2</v>
      </c>
      <c r="V33" s="272" t="s">
        <v>2033</v>
      </c>
      <c r="W33" s="374" t="s">
        <v>2034</v>
      </c>
      <c r="X33" s="272">
        <v>43012</v>
      </c>
      <c r="Y33" s="274">
        <v>43041</v>
      </c>
      <c r="Z33" s="275" t="s">
        <v>152</v>
      </c>
      <c r="AA33" s="272">
        <v>43089</v>
      </c>
      <c r="AB33" s="263" t="s">
        <v>2035</v>
      </c>
      <c r="AC33" s="272">
        <v>43111</v>
      </c>
      <c r="AD33" s="272">
        <v>43857</v>
      </c>
      <c r="AE33" s="279">
        <f t="shared" si="3"/>
        <v>22</v>
      </c>
      <c r="AF33" s="442">
        <f t="shared" si="0"/>
        <v>746</v>
      </c>
      <c r="AG33" s="263"/>
      <c r="AH33" s="237"/>
      <c r="AI33" s="237"/>
      <c r="AJ33" s="237"/>
      <c r="AK33" s="237"/>
      <c r="AL33" s="276" t="s">
        <v>845</v>
      </c>
      <c r="AM33" s="276" t="s">
        <v>845</v>
      </c>
      <c r="AN33" s="276" t="s">
        <v>845</v>
      </c>
      <c r="AO33" s="276">
        <v>39</v>
      </c>
      <c r="AP33" s="276">
        <v>786</v>
      </c>
      <c r="AQ33" s="276">
        <v>781</v>
      </c>
      <c r="AR33" s="276">
        <v>776</v>
      </c>
      <c r="AS33" s="276">
        <v>770</v>
      </c>
      <c r="AT33" s="280"/>
      <c r="AU33" s="280"/>
      <c r="AV33" s="280"/>
      <c r="AW33" s="280"/>
      <c r="AX33" s="280"/>
      <c r="AY33" s="280"/>
      <c r="AZ33" s="280"/>
      <c r="BA33" s="280"/>
      <c r="BB33" s="280"/>
      <c r="BC33" s="280"/>
      <c r="BD33" s="246">
        <f t="shared" si="1"/>
        <v>630.4</v>
      </c>
      <c r="BE33" s="246">
        <f>SUM(AL33:BC33)</f>
        <v>3152</v>
      </c>
      <c r="BF33" s="513"/>
      <c r="BG33" s="513"/>
      <c r="BH33" s="519"/>
      <c r="BI33" s="513"/>
      <c r="BJ33" s="519"/>
      <c r="BK33" s="514"/>
      <c r="BL33" s="513"/>
      <c r="BM33" s="513"/>
      <c r="BN33" s="519"/>
      <c r="BO33" s="513"/>
      <c r="BP33" s="519"/>
      <c r="BQ33" s="514"/>
      <c r="BR33" s="277"/>
      <c r="BS33" s="278"/>
    </row>
    <row r="34" spans="1:71" ht="86.25" x14ac:dyDescent="0.4">
      <c r="A34" s="488"/>
      <c r="B34" s="263" t="s">
        <v>455</v>
      </c>
      <c r="C34" s="263" t="s">
        <v>2366</v>
      </c>
      <c r="D34" s="263" t="s">
        <v>1542</v>
      </c>
      <c r="E34" s="263" t="s">
        <v>444</v>
      </c>
      <c r="F34" s="263" t="s">
        <v>2036</v>
      </c>
      <c r="G34" s="263" t="s">
        <v>1368</v>
      </c>
      <c r="H34" s="236" t="s">
        <v>413</v>
      </c>
      <c r="I34" s="263" t="s">
        <v>2037</v>
      </c>
      <c r="J34" s="263" t="s">
        <v>2038</v>
      </c>
      <c r="K34" s="248" t="s">
        <v>2039</v>
      </c>
      <c r="L34" s="235" t="s">
        <v>2040</v>
      </c>
      <c r="M34" s="263" t="s">
        <v>189</v>
      </c>
      <c r="N34" s="236" t="s">
        <v>980</v>
      </c>
      <c r="O34" s="263" t="s">
        <v>172</v>
      </c>
      <c r="P34" s="263" t="s">
        <v>840</v>
      </c>
      <c r="Q34" s="240">
        <v>2015</v>
      </c>
      <c r="R34" s="272">
        <v>42644</v>
      </c>
      <c r="S34" s="273">
        <v>17</v>
      </c>
      <c r="T34" s="240" t="s">
        <v>841</v>
      </c>
      <c r="U34" s="257">
        <v>1</v>
      </c>
      <c r="V34" s="272">
        <v>42976</v>
      </c>
      <c r="W34" s="241" t="s">
        <v>843</v>
      </c>
      <c r="X34" s="272">
        <v>42992</v>
      </c>
      <c r="Y34" s="274">
        <v>43021</v>
      </c>
      <c r="Z34" s="275" t="s">
        <v>152</v>
      </c>
      <c r="AA34" s="272">
        <v>43090</v>
      </c>
      <c r="AB34" s="263" t="s">
        <v>2041</v>
      </c>
      <c r="AC34" s="272">
        <v>43123</v>
      </c>
      <c r="AD34" s="272">
        <v>43171</v>
      </c>
      <c r="AE34" s="279">
        <f t="shared" si="3"/>
        <v>33</v>
      </c>
      <c r="AF34" s="279">
        <f t="shared" si="0"/>
        <v>48</v>
      </c>
      <c r="AG34" s="263" t="s">
        <v>845</v>
      </c>
      <c r="AH34" s="237"/>
      <c r="AI34" s="237"/>
      <c r="AJ34" s="237"/>
      <c r="AK34" s="237"/>
      <c r="AL34" s="276" t="s">
        <v>845</v>
      </c>
      <c r="AM34" s="276" t="s">
        <v>845</v>
      </c>
      <c r="AN34" s="276" t="s">
        <v>845</v>
      </c>
      <c r="AO34" s="276">
        <v>40</v>
      </c>
      <c r="AP34" s="276">
        <v>104</v>
      </c>
      <c r="AQ34" s="276">
        <v>104</v>
      </c>
      <c r="AR34" s="276">
        <v>104</v>
      </c>
      <c r="AS34" s="276">
        <v>104</v>
      </c>
      <c r="AT34" s="276">
        <v>104</v>
      </c>
      <c r="AU34" s="276">
        <v>104</v>
      </c>
      <c r="AV34" s="276">
        <v>104</v>
      </c>
      <c r="AW34" s="276">
        <v>104</v>
      </c>
      <c r="AX34" s="276">
        <v>104</v>
      </c>
      <c r="AY34" s="276">
        <v>104</v>
      </c>
      <c r="AZ34" s="276">
        <v>104</v>
      </c>
      <c r="BA34" s="276">
        <v>104</v>
      </c>
      <c r="BB34" s="276">
        <v>104</v>
      </c>
      <c r="BC34" s="245">
        <v>104</v>
      </c>
      <c r="BD34" s="246">
        <f t="shared" si="1"/>
        <v>99.733333333333334</v>
      </c>
      <c r="BE34" s="246">
        <f t="shared" si="2"/>
        <v>1496</v>
      </c>
      <c r="BF34" s="513">
        <v>43889</v>
      </c>
      <c r="BG34" s="513" t="s">
        <v>2369</v>
      </c>
      <c r="BH34" s="519">
        <v>89</v>
      </c>
      <c r="BI34" s="513">
        <v>43889</v>
      </c>
      <c r="BJ34" s="519">
        <v>92</v>
      </c>
      <c r="BK34" s="514" t="s">
        <v>2367</v>
      </c>
      <c r="BL34" s="513"/>
      <c r="BM34" s="513"/>
      <c r="BN34" s="519"/>
      <c r="BO34" s="513"/>
      <c r="BP34" s="519"/>
      <c r="BQ34" s="514"/>
      <c r="BR34" s="277"/>
      <c r="BS34" s="278"/>
    </row>
    <row r="35" spans="1:71" ht="409.5" x14ac:dyDescent="0.4">
      <c r="A35" s="488"/>
      <c r="B35" s="263" t="s">
        <v>2315</v>
      </c>
      <c r="C35" s="263" t="s">
        <v>2311</v>
      </c>
      <c r="D35" s="263" t="s">
        <v>2316</v>
      </c>
      <c r="E35" s="263" t="s">
        <v>444</v>
      </c>
      <c r="F35" s="263" t="s">
        <v>2317</v>
      </c>
      <c r="G35" s="263" t="s">
        <v>2318</v>
      </c>
      <c r="H35" s="375" t="s">
        <v>2320</v>
      </c>
      <c r="I35" s="263" t="s">
        <v>2325</v>
      </c>
      <c r="J35" s="263" t="s">
        <v>2324</v>
      </c>
      <c r="K35" s="269" t="s">
        <v>2323</v>
      </c>
      <c r="L35" s="235" t="s">
        <v>2319</v>
      </c>
      <c r="M35" s="263"/>
      <c r="N35" s="236" t="s">
        <v>2326</v>
      </c>
      <c r="O35" s="263" t="s">
        <v>172</v>
      </c>
      <c r="P35" s="263" t="s">
        <v>840</v>
      </c>
      <c r="Q35" s="274">
        <v>42185</v>
      </c>
      <c r="R35" s="272">
        <v>43101</v>
      </c>
      <c r="S35" s="273" t="s">
        <v>2321</v>
      </c>
      <c r="T35" s="240" t="s">
        <v>841</v>
      </c>
      <c r="U35" s="257">
        <v>2</v>
      </c>
      <c r="V35" s="272"/>
      <c r="W35" s="241" t="s">
        <v>2327</v>
      </c>
      <c r="X35" s="272">
        <v>43746</v>
      </c>
      <c r="Y35" s="274">
        <v>43775</v>
      </c>
      <c r="Z35" s="275" t="s">
        <v>152</v>
      </c>
      <c r="AA35" s="272"/>
      <c r="AB35" s="263" t="s">
        <v>2328</v>
      </c>
      <c r="AC35" s="272">
        <v>43864</v>
      </c>
      <c r="AD35" s="272">
        <v>43882</v>
      </c>
      <c r="AE35" s="279">
        <v>43882</v>
      </c>
      <c r="AF35" s="279">
        <f t="shared" si="0"/>
        <v>18</v>
      </c>
      <c r="AG35" s="263"/>
      <c r="AH35" s="237"/>
      <c r="AI35" s="237"/>
      <c r="AJ35" s="237"/>
      <c r="AK35" s="237"/>
      <c r="AL35" s="276" t="s">
        <v>845</v>
      </c>
      <c r="AM35" s="276" t="s">
        <v>845</v>
      </c>
      <c r="AN35" s="276" t="s">
        <v>845</v>
      </c>
      <c r="AO35" s="276" t="s">
        <v>845</v>
      </c>
      <c r="AP35" s="276" t="s">
        <v>845</v>
      </c>
      <c r="AQ35" s="276">
        <v>123</v>
      </c>
      <c r="AR35" s="276">
        <v>559</v>
      </c>
      <c r="AS35" s="276">
        <v>559</v>
      </c>
      <c r="AT35" s="276">
        <v>559</v>
      </c>
      <c r="AU35" s="276">
        <v>559</v>
      </c>
      <c r="AV35" s="276">
        <v>559</v>
      </c>
      <c r="AW35" s="276">
        <v>559</v>
      </c>
      <c r="AX35" s="276">
        <v>559</v>
      </c>
      <c r="AY35" s="276">
        <v>559</v>
      </c>
      <c r="AZ35" s="276">
        <v>559</v>
      </c>
      <c r="BA35" s="276">
        <v>435</v>
      </c>
      <c r="BB35" s="276"/>
      <c r="BC35" s="245"/>
      <c r="BD35" s="246">
        <f>BE35/COUNT(AL35:BC35)</f>
        <v>508.09090909090907</v>
      </c>
      <c r="BE35" s="246">
        <f t="shared" si="2"/>
        <v>5589</v>
      </c>
      <c r="BF35" s="513"/>
      <c r="BG35" s="513"/>
      <c r="BH35" s="519"/>
      <c r="BI35" s="513"/>
      <c r="BJ35" s="519"/>
      <c r="BK35" s="514"/>
      <c r="BL35" s="513"/>
      <c r="BM35" s="513"/>
      <c r="BN35" s="519"/>
      <c r="BO35" s="513"/>
      <c r="BP35" s="519"/>
      <c r="BQ35" s="514"/>
      <c r="BR35" s="277"/>
      <c r="BS35" s="278"/>
    </row>
    <row r="36" spans="1:71" ht="138" x14ac:dyDescent="0.4">
      <c r="A36" s="489"/>
      <c r="B36" s="263" t="s">
        <v>464</v>
      </c>
      <c r="C36" s="235" t="s">
        <v>833</v>
      </c>
      <c r="D36" s="263" t="s">
        <v>925</v>
      </c>
      <c r="E36" s="263" t="s">
        <v>458</v>
      </c>
      <c r="F36" s="263" t="s">
        <v>926</v>
      </c>
      <c r="G36" s="263" t="s">
        <v>927</v>
      </c>
      <c r="H36" s="375" t="s">
        <v>404</v>
      </c>
      <c r="I36" s="263" t="s">
        <v>270</v>
      </c>
      <c r="J36" s="263" t="s">
        <v>928</v>
      </c>
      <c r="K36" s="263" t="s">
        <v>929</v>
      </c>
      <c r="L36" s="263" t="s">
        <v>930</v>
      </c>
      <c r="M36" s="263" t="s">
        <v>146</v>
      </c>
      <c r="N36" s="236" t="s">
        <v>461</v>
      </c>
      <c r="O36" s="263" t="s">
        <v>172</v>
      </c>
      <c r="P36" s="263" t="s">
        <v>902</v>
      </c>
      <c r="Q36" s="272">
        <v>42076</v>
      </c>
      <c r="R36" s="272">
        <v>42752</v>
      </c>
      <c r="S36" s="273">
        <v>5</v>
      </c>
      <c r="T36" s="240" t="s">
        <v>2042</v>
      </c>
      <c r="U36" s="257">
        <v>1</v>
      </c>
      <c r="V36" s="272">
        <v>42600</v>
      </c>
      <c r="W36" s="241" t="s">
        <v>903</v>
      </c>
      <c r="X36" s="272">
        <v>42731</v>
      </c>
      <c r="Y36" s="274">
        <v>42760</v>
      </c>
      <c r="Z36" s="275" t="s">
        <v>152</v>
      </c>
      <c r="AA36" s="272">
        <v>42818</v>
      </c>
      <c r="AB36" s="263" t="s">
        <v>931</v>
      </c>
      <c r="AC36" s="272">
        <v>42822</v>
      </c>
      <c r="AD36" s="272">
        <v>42947</v>
      </c>
      <c r="AE36" s="279">
        <f t="shared" si="3"/>
        <v>4</v>
      </c>
      <c r="AF36" s="243">
        <f t="shared" si="0"/>
        <v>125</v>
      </c>
      <c r="AG36" s="235" t="s">
        <v>845</v>
      </c>
      <c r="AH36" s="237"/>
      <c r="AI36" s="237"/>
      <c r="AJ36" s="237"/>
      <c r="AK36" s="237"/>
      <c r="AL36" s="276" t="s">
        <v>845</v>
      </c>
      <c r="AM36" s="276" t="s">
        <v>845</v>
      </c>
      <c r="AN36" s="276" t="s">
        <v>845</v>
      </c>
      <c r="AO36" s="276" t="s">
        <v>845</v>
      </c>
      <c r="AP36" s="276">
        <v>300</v>
      </c>
      <c r="AQ36" s="276">
        <v>579</v>
      </c>
      <c r="AR36" s="276">
        <v>695</v>
      </c>
      <c r="AS36" s="276">
        <v>695</v>
      </c>
      <c r="AT36" s="280"/>
      <c r="AU36" s="280"/>
      <c r="AV36" s="280"/>
      <c r="AW36" s="280"/>
      <c r="AX36" s="280"/>
      <c r="AY36" s="280"/>
      <c r="AZ36" s="280"/>
      <c r="BA36" s="280"/>
      <c r="BB36" s="280"/>
      <c r="BC36" s="280"/>
      <c r="BD36" s="246">
        <f t="shared" si="1"/>
        <v>567.25</v>
      </c>
      <c r="BE36" s="247">
        <f t="shared" si="2"/>
        <v>2269</v>
      </c>
      <c r="BF36" s="513">
        <v>43483</v>
      </c>
      <c r="BG36" s="513">
        <v>43490</v>
      </c>
      <c r="BH36" s="519">
        <v>33</v>
      </c>
      <c r="BI36" s="513">
        <v>43487</v>
      </c>
      <c r="BJ36" s="519">
        <v>174</v>
      </c>
      <c r="BK36" s="514" t="s">
        <v>2264</v>
      </c>
      <c r="BL36" s="513"/>
      <c r="BM36" s="513"/>
      <c r="BN36" s="519"/>
      <c r="BO36" s="513"/>
      <c r="BP36" s="519"/>
      <c r="BQ36" s="514"/>
      <c r="BR36" s="277"/>
      <c r="BS36" s="278"/>
    </row>
    <row r="37" spans="1:71" ht="138" x14ac:dyDescent="0.4">
      <c r="A37" s="489"/>
      <c r="B37" s="263" t="s">
        <v>2043</v>
      </c>
      <c r="C37" s="263" t="s">
        <v>2312</v>
      </c>
      <c r="D37" s="263" t="s">
        <v>2044</v>
      </c>
      <c r="E37" s="263" t="s">
        <v>2287</v>
      </c>
      <c r="F37" s="263" t="s">
        <v>2045</v>
      </c>
      <c r="G37" s="263" t="s">
        <v>236</v>
      </c>
      <c r="H37" s="236" t="s">
        <v>769</v>
      </c>
      <c r="I37" s="263" t="s">
        <v>1860</v>
      </c>
      <c r="J37" s="263" t="s">
        <v>2046</v>
      </c>
      <c r="K37" s="263" t="s">
        <v>2047</v>
      </c>
      <c r="L37" s="263" t="s">
        <v>2048</v>
      </c>
      <c r="M37" s="263" t="s">
        <v>2049</v>
      </c>
      <c r="N37" s="385" t="s">
        <v>1886</v>
      </c>
      <c r="O37" s="263" t="s">
        <v>172</v>
      </c>
      <c r="P37" s="263" t="s">
        <v>840</v>
      </c>
      <c r="Q37" s="272">
        <v>42185</v>
      </c>
      <c r="R37" s="272">
        <v>42887</v>
      </c>
      <c r="S37" s="273">
        <v>15</v>
      </c>
      <c r="T37" s="240" t="s">
        <v>894</v>
      </c>
      <c r="U37" s="257">
        <v>2</v>
      </c>
      <c r="V37" s="272" t="s">
        <v>2050</v>
      </c>
      <c r="W37" s="241" t="s">
        <v>2051</v>
      </c>
      <c r="X37" s="272">
        <v>43445</v>
      </c>
      <c r="Y37" s="274">
        <v>43474</v>
      </c>
      <c r="Z37" s="275" t="s">
        <v>152</v>
      </c>
      <c r="AA37" s="272">
        <v>43553</v>
      </c>
      <c r="AB37" s="263" t="s">
        <v>2052</v>
      </c>
      <c r="AC37" s="272">
        <v>43579</v>
      </c>
      <c r="AD37" s="272">
        <v>43846</v>
      </c>
      <c r="AE37" s="279">
        <f t="shared" si="3"/>
        <v>26</v>
      </c>
      <c r="AF37" s="243">
        <f t="shared" si="0"/>
        <v>267</v>
      </c>
      <c r="AG37" s="235" t="s">
        <v>845</v>
      </c>
      <c r="AH37" s="237"/>
      <c r="AI37" s="237"/>
      <c r="AJ37" s="237"/>
      <c r="AK37" s="237"/>
      <c r="AL37" s="276" t="s">
        <v>845</v>
      </c>
      <c r="AM37" s="276" t="s">
        <v>845</v>
      </c>
      <c r="AN37" s="276" t="s">
        <v>845</v>
      </c>
      <c r="AO37" s="276" t="s">
        <v>845</v>
      </c>
      <c r="AP37" s="276">
        <v>-1933</v>
      </c>
      <c r="AQ37" s="276">
        <v>-1853</v>
      </c>
      <c r="AR37" s="276">
        <v>262</v>
      </c>
      <c r="AS37" s="276">
        <v>1833</v>
      </c>
      <c r="AT37" s="280">
        <v>3030</v>
      </c>
      <c r="AU37" s="280">
        <v>3970</v>
      </c>
      <c r="AV37" s="280">
        <v>4728</v>
      </c>
      <c r="AW37" s="280">
        <v>5359</v>
      </c>
      <c r="AX37" s="280">
        <v>5897</v>
      </c>
      <c r="AY37" s="280">
        <v>6367</v>
      </c>
      <c r="AZ37" s="280">
        <v>6785</v>
      </c>
      <c r="BA37" s="280">
        <v>7163</v>
      </c>
      <c r="BB37" s="280">
        <v>7509</v>
      </c>
      <c r="BC37" s="280">
        <v>7829</v>
      </c>
      <c r="BD37" s="246">
        <f t="shared" si="1"/>
        <v>4067.5714285714284</v>
      </c>
      <c r="BE37" s="246">
        <f t="shared" si="2"/>
        <v>56946</v>
      </c>
      <c r="BF37" s="513"/>
      <c r="BG37" s="513"/>
      <c r="BH37" s="519"/>
      <c r="BI37" s="513"/>
      <c r="BJ37" s="519"/>
      <c r="BK37" s="514"/>
      <c r="BL37" s="513"/>
      <c r="BM37" s="513"/>
      <c r="BN37" s="519"/>
      <c r="BO37" s="513"/>
      <c r="BP37" s="519"/>
      <c r="BQ37" s="514"/>
      <c r="BR37" s="277"/>
      <c r="BS37" s="278"/>
    </row>
    <row r="38" spans="1:71" ht="86.25" x14ac:dyDescent="0.4">
      <c r="A38" s="489"/>
      <c r="B38" s="281" t="s">
        <v>932</v>
      </c>
      <c r="C38" s="235" t="s">
        <v>2365</v>
      </c>
      <c r="D38" s="281" t="s">
        <v>933</v>
      </c>
      <c r="E38" s="281" t="s">
        <v>509</v>
      </c>
      <c r="F38" s="281" t="s">
        <v>934</v>
      </c>
      <c r="G38" s="281" t="s">
        <v>935</v>
      </c>
      <c r="H38" s="375" t="s">
        <v>404</v>
      </c>
      <c r="I38" s="281" t="s">
        <v>270</v>
      </c>
      <c r="J38" s="281" t="s">
        <v>936</v>
      </c>
      <c r="K38" s="281" t="s">
        <v>937</v>
      </c>
      <c r="L38" s="281" t="s">
        <v>938</v>
      </c>
      <c r="M38" s="281" t="s">
        <v>412</v>
      </c>
      <c r="N38" s="236" t="s">
        <v>398</v>
      </c>
      <c r="O38" s="281" t="s">
        <v>172</v>
      </c>
      <c r="P38" s="281" t="s">
        <v>840</v>
      </c>
      <c r="Q38" s="238">
        <v>2013</v>
      </c>
      <c r="R38" s="239">
        <v>41913</v>
      </c>
      <c r="S38" s="238">
        <v>15</v>
      </c>
      <c r="T38" s="273" t="s">
        <v>894</v>
      </c>
      <c r="U38" s="257">
        <v>1</v>
      </c>
      <c r="V38" s="239">
        <v>41818</v>
      </c>
      <c r="W38" s="241" t="s">
        <v>2053</v>
      </c>
      <c r="X38" s="239">
        <v>42152</v>
      </c>
      <c r="Y38" s="239">
        <v>42181</v>
      </c>
      <c r="Z38" s="242" t="s">
        <v>152</v>
      </c>
      <c r="AA38" s="239">
        <v>42184</v>
      </c>
      <c r="AB38" s="281" t="s">
        <v>939</v>
      </c>
      <c r="AC38" s="239">
        <v>42184</v>
      </c>
      <c r="AD38" s="239">
        <v>42185</v>
      </c>
      <c r="AE38" s="279">
        <f t="shared" si="3"/>
        <v>0</v>
      </c>
      <c r="AF38" s="243">
        <f t="shared" si="0"/>
        <v>1</v>
      </c>
      <c r="AG38" s="235" t="s">
        <v>845</v>
      </c>
      <c r="AH38" s="282"/>
      <c r="AI38" s="244"/>
      <c r="AJ38" s="282"/>
      <c r="AK38" s="282"/>
      <c r="AL38" s="276" t="s">
        <v>845</v>
      </c>
      <c r="AM38" s="276" t="s">
        <v>845</v>
      </c>
      <c r="AN38" s="515">
        <v>92</v>
      </c>
      <c r="AO38" s="515">
        <v>92</v>
      </c>
      <c r="AP38" s="515">
        <v>92</v>
      </c>
      <c r="AQ38" s="515">
        <v>92</v>
      </c>
      <c r="AR38" s="515">
        <v>92</v>
      </c>
      <c r="AS38" s="515">
        <v>92</v>
      </c>
      <c r="AT38" s="515"/>
      <c r="AU38" s="515"/>
      <c r="AV38" s="515"/>
      <c r="AW38" s="515"/>
      <c r="AX38" s="515"/>
      <c r="AY38" s="515"/>
      <c r="AZ38" s="515"/>
      <c r="BA38" s="515"/>
      <c r="BB38" s="515"/>
      <c r="BC38" s="515"/>
      <c r="BD38" s="246">
        <f t="shared" si="1"/>
        <v>92</v>
      </c>
      <c r="BE38" s="516">
        <f t="shared" si="2"/>
        <v>552</v>
      </c>
      <c r="BF38" s="513">
        <v>42642</v>
      </c>
      <c r="BG38" s="513">
        <v>42643</v>
      </c>
      <c r="BH38" s="519">
        <v>10</v>
      </c>
      <c r="BI38" s="513">
        <v>42643</v>
      </c>
      <c r="BJ38" s="519">
        <v>40</v>
      </c>
      <c r="BK38" s="514" t="s">
        <v>2285</v>
      </c>
      <c r="BL38" s="513">
        <v>43410</v>
      </c>
      <c r="BM38" s="513">
        <v>43431</v>
      </c>
      <c r="BN38" s="519">
        <v>24</v>
      </c>
      <c r="BO38" s="513">
        <v>43411</v>
      </c>
      <c r="BP38" s="519">
        <v>94</v>
      </c>
      <c r="BQ38" s="514" t="s">
        <v>2284</v>
      </c>
      <c r="BR38" s="249">
        <v>42636</v>
      </c>
      <c r="BS38" s="259" t="s">
        <v>940</v>
      </c>
    </row>
    <row r="39" spans="1:71" ht="86.25" x14ac:dyDescent="0.4">
      <c r="A39" s="489"/>
      <c r="B39" s="235" t="s">
        <v>941</v>
      </c>
      <c r="C39" s="235" t="s">
        <v>2365</v>
      </c>
      <c r="D39" s="235" t="s">
        <v>942</v>
      </c>
      <c r="E39" s="235" t="s">
        <v>509</v>
      </c>
      <c r="F39" s="235" t="s">
        <v>943</v>
      </c>
      <c r="G39" s="235" t="s">
        <v>935</v>
      </c>
      <c r="H39" s="375" t="s">
        <v>404</v>
      </c>
      <c r="I39" s="235" t="s">
        <v>270</v>
      </c>
      <c r="J39" s="235" t="s">
        <v>944</v>
      </c>
      <c r="K39" s="235" t="s">
        <v>945</v>
      </c>
      <c r="L39" s="235" t="s">
        <v>938</v>
      </c>
      <c r="M39" s="281" t="s">
        <v>412</v>
      </c>
      <c r="N39" s="236" t="s">
        <v>398</v>
      </c>
      <c r="O39" s="235" t="s">
        <v>337</v>
      </c>
      <c r="P39" s="235" t="s">
        <v>840</v>
      </c>
      <c r="Q39" s="238">
        <v>2013</v>
      </c>
      <c r="R39" s="239">
        <v>41909</v>
      </c>
      <c r="S39" s="238">
        <v>15</v>
      </c>
      <c r="T39" s="273" t="s">
        <v>894</v>
      </c>
      <c r="U39" s="238">
        <v>1</v>
      </c>
      <c r="V39" s="239">
        <v>41543</v>
      </c>
      <c r="W39" s="241" t="s">
        <v>946</v>
      </c>
      <c r="X39" s="239">
        <v>42152</v>
      </c>
      <c r="Y39" s="239">
        <v>42181</v>
      </c>
      <c r="Z39" s="242" t="s">
        <v>152</v>
      </c>
      <c r="AA39" s="239">
        <v>42184</v>
      </c>
      <c r="AB39" s="235" t="s">
        <v>939</v>
      </c>
      <c r="AC39" s="239">
        <v>42184</v>
      </c>
      <c r="AD39" s="239">
        <v>42185</v>
      </c>
      <c r="AE39" s="279">
        <f t="shared" si="3"/>
        <v>0</v>
      </c>
      <c r="AF39" s="243">
        <f t="shared" si="0"/>
        <v>1</v>
      </c>
      <c r="AG39" s="235" t="s">
        <v>845</v>
      </c>
      <c r="AH39" s="244"/>
      <c r="AI39" s="244"/>
      <c r="AJ39" s="244"/>
      <c r="AK39" s="244"/>
      <c r="AL39" s="276" t="s">
        <v>845</v>
      </c>
      <c r="AM39" s="276" t="s">
        <v>845</v>
      </c>
      <c r="AN39" s="276">
        <v>206</v>
      </c>
      <c r="AO39" s="276">
        <v>206</v>
      </c>
      <c r="AP39" s="276">
        <v>206</v>
      </c>
      <c r="AQ39" s="276">
        <v>206</v>
      </c>
      <c r="AR39" s="276">
        <v>206</v>
      </c>
      <c r="AS39" s="276">
        <v>206</v>
      </c>
      <c r="AT39" s="276"/>
      <c r="AU39" s="276"/>
      <c r="AV39" s="276"/>
      <c r="AW39" s="276"/>
      <c r="AX39" s="276"/>
      <c r="AY39" s="276"/>
      <c r="AZ39" s="276"/>
      <c r="BA39" s="276"/>
      <c r="BB39" s="276"/>
      <c r="BC39" s="276"/>
      <c r="BD39" s="246">
        <f t="shared" si="1"/>
        <v>206</v>
      </c>
      <c r="BE39" s="246">
        <f t="shared" si="2"/>
        <v>1236</v>
      </c>
      <c r="BF39" s="513">
        <v>42642</v>
      </c>
      <c r="BG39" s="513">
        <v>42643</v>
      </c>
      <c r="BH39" s="519">
        <v>22</v>
      </c>
      <c r="BI39" s="513">
        <v>42643</v>
      </c>
      <c r="BJ39" s="519">
        <v>85</v>
      </c>
      <c r="BK39" s="514" t="s">
        <v>2285</v>
      </c>
      <c r="BL39" s="513">
        <v>43410</v>
      </c>
      <c r="BM39" s="513">
        <v>43431</v>
      </c>
      <c r="BN39" s="519">
        <v>42</v>
      </c>
      <c r="BO39" s="513">
        <v>43433</v>
      </c>
      <c r="BP39" s="519">
        <v>166</v>
      </c>
      <c r="BQ39" s="514" t="s">
        <v>2284</v>
      </c>
      <c r="BR39" s="249">
        <v>42636</v>
      </c>
      <c r="BS39" s="259" t="s">
        <v>940</v>
      </c>
    </row>
    <row r="40" spans="1:71" ht="86.25" x14ac:dyDescent="0.4">
      <c r="A40" s="489"/>
      <c r="B40" s="235" t="s">
        <v>947</v>
      </c>
      <c r="C40" s="235" t="s">
        <v>833</v>
      </c>
      <c r="D40" s="235" t="s">
        <v>948</v>
      </c>
      <c r="E40" s="235" t="s">
        <v>509</v>
      </c>
      <c r="F40" s="235" t="s">
        <v>949</v>
      </c>
      <c r="G40" s="235" t="s">
        <v>950</v>
      </c>
      <c r="H40" s="236" t="s">
        <v>167</v>
      </c>
      <c r="I40" s="235" t="s">
        <v>951</v>
      </c>
      <c r="J40" s="235" t="s">
        <v>952</v>
      </c>
      <c r="K40" s="235" t="s">
        <v>953</v>
      </c>
      <c r="L40" s="235" t="s">
        <v>954</v>
      </c>
      <c r="M40" s="281" t="s">
        <v>412</v>
      </c>
      <c r="N40" s="236" t="s">
        <v>955</v>
      </c>
      <c r="O40" s="235" t="s">
        <v>172</v>
      </c>
      <c r="P40" s="235" t="s">
        <v>840</v>
      </c>
      <c r="Q40" s="238">
        <v>2016</v>
      </c>
      <c r="R40" s="239">
        <v>42887</v>
      </c>
      <c r="S40" s="238">
        <v>20</v>
      </c>
      <c r="T40" s="273" t="s">
        <v>894</v>
      </c>
      <c r="U40" s="238">
        <v>2</v>
      </c>
      <c r="V40" s="239" t="s">
        <v>2054</v>
      </c>
      <c r="W40" s="241" t="s">
        <v>956</v>
      </c>
      <c r="X40" s="239">
        <v>42775</v>
      </c>
      <c r="Y40" s="239">
        <v>42804</v>
      </c>
      <c r="Z40" s="242" t="s">
        <v>152</v>
      </c>
      <c r="AA40" s="239">
        <v>42809</v>
      </c>
      <c r="AB40" s="235" t="s">
        <v>2431</v>
      </c>
      <c r="AC40" s="239">
        <v>42800</v>
      </c>
      <c r="AD40" s="239">
        <v>42881</v>
      </c>
      <c r="AE40" s="279">
        <f t="shared" si="3"/>
        <v>-9</v>
      </c>
      <c r="AF40" s="243">
        <f t="shared" si="0"/>
        <v>81</v>
      </c>
      <c r="AG40" s="235" t="s">
        <v>845</v>
      </c>
      <c r="AH40" s="283">
        <v>43410</v>
      </c>
      <c r="AI40" s="283" t="s">
        <v>957</v>
      </c>
      <c r="AJ40" s="284"/>
      <c r="AK40" s="284"/>
      <c r="AL40" s="276" t="s">
        <v>845</v>
      </c>
      <c r="AM40" s="276" t="s">
        <v>845</v>
      </c>
      <c r="AN40" s="276" t="s">
        <v>845</v>
      </c>
      <c r="AO40" s="276" t="s">
        <v>845</v>
      </c>
      <c r="AP40" s="276">
        <v>1016</v>
      </c>
      <c r="AQ40" s="276">
        <v>12009</v>
      </c>
      <c r="AR40" s="276">
        <v>12009</v>
      </c>
      <c r="AS40" s="276">
        <v>12009</v>
      </c>
      <c r="AT40" s="276">
        <v>12009</v>
      </c>
      <c r="AU40" s="276">
        <v>12009</v>
      </c>
      <c r="AV40" s="276">
        <v>12009</v>
      </c>
      <c r="AW40" s="276">
        <v>12009</v>
      </c>
      <c r="AX40" s="276">
        <v>12009</v>
      </c>
      <c r="AY40" s="276">
        <v>12009</v>
      </c>
      <c r="AZ40" s="276">
        <v>12009</v>
      </c>
      <c r="BA40" s="276">
        <v>12009</v>
      </c>
      <c r="BB40" s="276">
        <v>12009</v>
      </c>
      <c r="BC40" s="245">
        <v>12009</v>
      </c>
      <c r="BD40" s="246">
        <f t="shared" si="1"/>
        <v>11223.785714285714</v>
      </c>
      <c r="BE40" s="247">
        <f t="shared" si="2"/>
        <v>157133</v>
      </c>
      <c r="BF40" s="513">
        <v>43410</v>
      </c>
      <c r="BG40" s="513">
        <v>43448</v>
      </c>
      <c r="BH40" s="519">
        <v>1776</v>
      </c>
      <c r="BI40" s="513">
        <v>43448</v>
      </c>
      <c r="BJ40" s="519">
        <v>7104</v>
      </c>
      <c r="BK40" s="514" t="s">
        <v>2265</v>
      </c>
      <c r="BL40" s="513"/>
      <c r="BM40" s="513"/>
      <c r="BN40" s="519"/>
      <c r="BO40" s="513"/>
      <c r="BP40" s="519"/>
      <c r="BQ40" s="514"/>
      <c r="BR40" s="258"/>
      <c r="BS40" s="259"/>
    </row>
    <row r="41" spans="1:71" ht="86.25" x14ac:dyDescent="0.4">
      <c r="A41" s="489"/>
      <c r="B41" s="235" t="s">
        <v>958</v>
      </c>
      <c r="C41" s="235" t="s">
        <v>833</v>
      </c>
      <c r="D41" s="235" t="s">
        <v>959</v>
      </c>
      <c r="E41" s="235" t="s">
        <v>509</v>
      </c>
      <c r="F41" s="235" t="s">
        <v>960</v>
      </c>
      <c r="G41" s="235" t="s">
        <v>961</v>
      </c>
      <c r="H41" s="236" t="s">
        <v>167</v>
      </c>
      <c r="I41" s="235" t="s">
        <v>951</v>
      </c>
      <c r="J41" s="235" t="s">
        <v>962</v>
      </c>
      <c r="K41" s="235" t="s">
        <v>963</v>
      </c>
      <c r="L41" s="235" t="s">
        <v>954</v>
      </c>
      <c r="M41" s="281" t="s">
        <v>2055</v>
      </c>
      <c r="N41" s="236" t="s">
        <v>955</v>
      </c>
      <c r="O41" s="235" t="s">
        <v>172</v>
      </c>
      <c r="P41" s="235" t="s">
        <v>840</v>
      </c>
      <c r="Q41" s="238">
        <v>2016</v>
      </c>
      <c r="R41" s="239">
        <v>42736</v>
      </c>
      <c r="S41" s="238">
        <v>17</v>
      </c>
      <c r="T41" s="273" t="s">
        <v>894</v>
      </c>
      <c r="U41" s="238">
        <v>1</v>
      </c>
      <c r="V41" s="239">
        <v>42716</v>
      </c>
      <c r="W41" s="241" t="s">
        <v>903</v>
      </c>
      <c r="X41" s="239">
        <v>42775</v>
      </c>
      <c r="Y41" s="239">
        <v>42804</v>
      </c>
      <c r="Z41" s="242" t="s">
        <v>152</v>
      </c>
      <c r="AA41" s="239">
        <v>42823</v>
      </c>
      <c r="AB41" s="235" t="s">
        <v>964</v>
      </c>
      <c r="AC41" s="239">
        <v>42828</v>
      </c>
      <c r="AD41" s="239">
        <v>42881</v>
      </c>
      <c r="AE41" s="279">
        <f t="shared" si="3"/>
        <v>5</v>
      </c>
      <c r="AF41" s="243">
        <f t="shared" ref="AF41:AF68" si="6">AD41-AC41</f>
        <v>53</v>
      </c>
      <c r="AG41" s="235" t="s">
        <v>845</v>
      </c>
      <c r="AH41" s="244"/>
      <c r="AI41" s="244"/>
      <c r="AJ41" s="244"/>
      <c r="AK41" s="244"/>
      <c r="AL41" s="276" t="s">
        <v>845</v>
      </c>
      <c r="AM41" s="276" t="s">
        <v>845</v>
      </c>
      <c r="AN41" s="276" t="s">
        <v>845</v>
      </c>
      <c r="AO41" s="276" t="s">
        <v>845</v>
      </c>
      <c r="AP41" s="276">
        <v>11221</v>
      </c>
      <c r="AQ41" s="276">
        <v>11221</v>
      </c>
      <c r="AR41" s="276">
        <v>11221</v>
      </c>
      <c r="AS41" s="276">
        <v>11221</v>
      </c>
      <c r="AT41" s="276">
        <v>11221</v>
      </c>
      <c r="AU41" s="276">
        <v>11221</v>
      </c>
      <c r="AV41" s="276">
        <v>11221</v>
      </c>
      <c r="AW41" s="276">
        <v>11221</v>
      </c>
      <c r="AX41" s="276">
        <v>11221</v>
      </c>
      <c r="AY41" s="276">
        <v>11221</v>
      </c>
      <c r="AZ41" s="276">
        <v>11221</v>
      </c>
      <c r="BA41" s="276">
        <v>11221</v>
      </c>
      <c r="BB41" s="276">
        <v>11221</v>
      </c>
      <c r="BC41" s="245">
        <v>11221</v>
      </c>
      <c r="BD41" s="246">
        <f t="shared" si="1"/>
        <v>11221</v>
      </c>
      <c r="BE41" s="247">
        <f t="shared" si="2"/>
        <v>157094</v>
      </c>
      <c r="BF41" s="513">
        <v>43032</v>
      </c>
      <c r="BG41" s="513">
        <v>43032</v>
      </c>
      <c r="BH41" s="519">
        <v>1789</v>
      </c>
      <c r="BI41" s="513">
        <v>43032</v>
      </c>
      <c r="BJ41" s="519">
        <v>7158</v>
      </c>
      <c r="BK41" s="514" t="s">
        <v>2266</v>
      </c>
      <c r="BL41" s="513"/>
      <c r="BM41" s="513"/>
      <c r="BN41" s="519"/>
      <c r="BO41" s="513"/>
      <c r="BP41" s="519"/>
      <c r="BQ41" s="514"/>
      <c r="BR41" s="249">
        <v>43011</v>
      </c>
      <c r="BS41" s="259" t="s">
        <v>965</v>
      </c>
    </row>
    <row r="42" spans="1:71" ht="103.5" x14ac:dyDescent="0.4">
      <c r="A42" s="489"/>
      <c r="B42" s="235" t="s">
        <v>518</v>
      </c>
      <c r="C42" s="235" t="s">
        <v>833</v>
      </c>
      <c r="D42" s="235" t="s">
        <v>966</v>
      </c>
      <c r="E42" s="235" t="s">
        <v>509</v>
      </c>
      <c r="F42" s="235" t="s">
        <v>967</v>
      </c>
      <c r="G42" s="235" t="s">
        <v>513</v>
      </c>
      <c r="H42" s="375" t="s">
        <v>404</v>
      </c>
      <c r="I42" s="235" t="s">
        <v>968</v>
      </c>
      <c r="J42" s="235" t="s">
        <v>969</v>
      </c>
      <c r="K42" s="235" t="s">
        <v>970</v>
      </c>
      <c r="L42" s="235" t="s">
        <v>971</v>
      </c>
      <c r="M42" s="281" t="s">
        <v>412</v>
      </c>
      <c r="N42" s="236" t="s">
        <v>972</v>
      </c>
      <c r="O42" s="235" t="s">
        <v>153</v>
      </c>
      <c r="P42" s="235" t="s">
        <v>902</v>
      </c>
      <c r="Q42" s="238">
        <v>2013</v>
      </c>
      <c r="R42" s="239">
        <v>43009</v>
      </c>
      <c r="S42" s="238">
        <v>14</v>
      </c>
      <c r="T42" s="273" t="s">
        <v>894</v>
      </c>
      <c r="U42" s="238">
        <v>1</v>
      </c>
      <c r="V42" s="239">
        <v>42844</v>
      </c>
      <c r="W42" s="241" t="s">
        <v>973</v>
      </c>
      <c r="X42" s="239">
        <v>42893</v>
      </c>
      <c r="Y42" s="239">
        <v>42922</v>
      </c>
      <c r="Z42" s="242" t="s">
        <v>152</v>
      </c>
      <c r="AA42" s="239">
        <v>42949</v>
      </c>
      <c r="AB42" s="235" t="s">
        <v>974</v>
      </c>
      <c r="AC42" s="239">
        <v>42970</v>
      </c>
      <c r="AD42" s="239">
        <v>43055</v>
      </c>
      <c r="AE42" s="243">
        <f t="shared" si="3"/>
        <v>21</v>
      </c>
      <c r="AF42" s="243">
        <f t="shared" si="6"/>
        <v>85</v>
      </c>
      <c r="AG42" s="235" t="s">
        <v>845</v>
      </c>
      <c r="AH42" s="244"/>
      <c r="AI42" s="244"/>
      <c r="AJ42" s="244"/>
      <c r="AK42" s="244"/>
      <c r="AL42" s="276" t="s">
        <v>845</v>
      </c>
      <c r="AM42" s="276" t="s">
        <v>845</v>
      </c>
      <c r="AN42" s="276" t="s">
        <v>845</v>
      </c>
      <c r="AO42" s="276" t="s">
        <v>845</v>
      </c>
      <c r="AP42" s="276">
        <v>12</v>
      </c>
      <c r="AQ42" s="276">
        <v>25</v>
      </c>
      <c r="AR42" s="276">
        <v>93</v>
      </c>
      <c r="AS42" s="276">
        <v>441</v>
      </c>
      <c r="AT42" s="276">
        <v>441</v>
      </c>
      <c r="AU42" s="276">
        <v>441</v>
      </c>
      <c r="AV42" s="276">
        <v>441</v>
      </c>
      <c r="AW42" s="276">
        <v>441</v>
      </c>
      <c r="AX42" s="276">
        <v>685</v>
      </c>
      <c r="AY42" s="276">
        <v>685</v>
      </c>
      <c r="AZ42" s="276">
        <v>685</v>
      </c>
      <c r="BA42" s="276">
        <v>685</v>
      </c>
      <c r="BB42" s="276">
        <v>685</v>
      </c>
      <c r="BC42" s="245">
        <v>779</v>
      </c>
      <c r="BD42" s="246">
        <f t="shared" si="1"/>
        <v>467.07142857142856</v>
      </c>
      <c r="BE42" s="247">
        <f t="shared" si="2"/>
        <v>6539</v>
      </c>
      <c r="BF42" s="513">
        <v>43602</v>
      </c>
      <c r="BG42" s="513">
        <v>43602</v>
      </c>
      <c r="BH42" s="519">
        <v>1</v>
      </c>
      <c r="BI42" s="513" t="s">
        <v>845</v>
      </c>
      <c r="BJ42" s="519">
        <v>0</v>
      </c>
      <c r="BK42" s="514" t="s">
        <v>2267</v>
      </c>
      <c r="BL42" s="513"/>
      <c r="BM42" s="513"/>
      <c r="BN42" s="519"/>
      <c r="BO42" s="513"/>
      <c r="BP42" s="519"/>
      <c r="BQ42" s="514"/>
      <c r="BR42" s="258"/>
      <c r="BS42" s="259"/>
    </row>
    <row r="43" spans="1:71" ht="86.25" x14ac:dyDescent="0.4">
      <c r="A43" s="489"/>
      <c r="B43" s="235" t="s">
        <v>540</v>
      </c>
      <c r="C43" s="235" t="s">
        <v>833</v>
      </c>
      <c r="D43" s="235" t="s">
        <v>975</v>
      </c>
      <c r="E43" s="235" t="s">
        <v>536</v>
      </c>
      <c r="F43" s="235" t="s">
        <v>976</v>
      </c>
      <c r="G43" s="235" t="s">
        <v>227</v>
      </c>
      <c r="H43" s="236" t="s">
        <v>167</v>
      </c>
      <c r="I43" s="235" t="s">
        <v>951</v>
      </c>
      <c r="J43" s="235" t="s">
        <v>977</v>
      </c>
      <c r="K43" s="235" t="s">
        <v>978</v>
      </c>
      <c r="L43" s="235" t="s">
        <v>979</v>
      </c>
      <c r="M43" s="235" t="s">
        <v>189</v>
      </c>
      <c r="N43" s="236" t="s">
        <v>980</v>
      </c>
      <c r="O43" s="235" t="s">
        <v>172</v>
      </c>
      <c r="P43" s="235" t="s">
        <v>840</v>
      </c>
      <c r="Q43" s="253">
        <v>41956</v>
      </c>
      <c r="R43" s="239">
        <v>42980</v>
      </c>
      <c r="S43" s="238">
        <v>10</v>
      </c>
      <c r="T43" s="240" t="s">
        <v>841</v>
      </c>
      <c r="U43" s="238">
        <v>1</v>
      </c>
      <c r="V43" s="239">
        <v>43005</v>
      </c>
      <c r="W43" s="241" t="s">
        <v>2056</v>
      </c>
      <c r="X43" s="239">
        <v>43159</v>
      </c>
      <c r="Y43" s="239">
        <v>43188</v>
      </c>
      <c r="Z43" s="242" t="s">
        <v>152</v>
      </c>
      <c r="AA43" s="239">
        <v>43264</v>
      </c>
      <c r="AB43" s="235" t="s">
        <v>981</v>
      </c>
      <c r="AC43" s="239">
        <v>43272</v>
      </c>
      <c r="AD43" s="239">
        <v>43296</v>
      </c>
      <c r="AE43" s="243">
        <f t="shared" si="3"/>
        <v>8</v>
      </c>
      <c r="AF43" s="243">
        <f t="shared" si="6"/>
        <v>24</v>
      </c>
      <c r="AG43" s="235" t="s">
        <v>845</v>
      </c>
      <c r="AH43" s="244"/>
      <c r="AI43" s="244"/>
      <c r="AJ43" s="244"/>
      <c r="AK43" s="244"/>
      <c r="AL43" s="276" t="s">
        <v>2314</v>
      </c>
      <c r="AM43" s="276" t="s">
        <v>2314</v>
      </c>
      <c r="AN43" s="276" t="s">
        <v>2314</v>
      </c>
      <c r="AO43" s="276" t="s">
        <v>2314</v>
      </c>
      <c r="AP43" s="276">
        <v>49</v>
      </c>
      <c r="AQ43" s="276">
        <v>156</v>
      </c>
      <c r="AR43" s="276">
        <v>156</v>
      </c>
      <c r="AS43" s="276">
        <v>156</v>
      </c>
      <c r="AT43" s="276"/>
      <c r="AU43" s="276"/>
      <c r="AV43" s="276"/>
      <c r="AW43" s="276"/>
      <c r="AX43" s="276"/>
      <c r="AY43" s="276"/>
      <c r="AZ43" s="276"/>
      <c r="BA43" s="276"/>
      <c r="BB43" s="276"/>
      <c r="BC43" s="245"/>
      <c r="BD43" s="246">
        <f t="shared" si="1"/>
        <v>129.25</v>
      </c>
      <c r="BE43" s="247">
        <f t="shared" si="2"/>
        <v>517</v>
      </c>
      <c r="BF43" s="513">
        <v>43656</v>
      </c>
      <c r="BG43" s="513">
        <v>43656</v>
      </c>
      <c r="BH43" s="519">
        <v>77</v>
      </c>
      <c r="BI43" s="513">
        <v>43657</v>
      </c>
      <c r="BJ43" s="519">
        <v>78</v>
      </c>
      <c r="BK43" s="514" t="s">
        <v>2268</v>
      </c>
      <c r="BL43" s="513"/>
      <c r="BM43" s="513"/>
      <c r="BN43" s="519"/>
      <c r="BO43" s="513"/>
      <c r="BP43" s="519"/>
      <c r="BQ43" s="514"/>
      <c r="BR43" s="258"/>
      <c r="BS43" s="259"/>
    </row>
    <row r="44" spans="1:71" ht="138" x14ac:dyDescent="0.4">
      <c r="A44" s="490"/>
      <c r="B44" s="235" t="s">
        <v>982</v>
      </c>
      <c r="C44" s="235" t="s">
        <v>833</v>
      </c>
      <c r="D44" s="235" t="s">
        <v>983</v>
      </c>
      <c r="E44" s="235" t="s">
        <v>548</v>
      </c>
      <c r="F44" s="235" t="s">
        <v>984</v>
      </c>
      <c r="G44" s="235" t="s">
        <v>985</v>
      </c>
      <c r="H44" s="236" t="s">
        <v>167</v>
      </c>
      <c r="I44" s="235" t="s">
        <v>951</v>
      </c>
      <c r="J44" s="235" t="s">
        <v>986</v>
      </c>
      <c r="K44" s="235" t="s">
        <v>987</v>
      </c>
      <c r="L44" s="235" t="s">
        <v>988</v>
      </c>
      <c r="M44" s="235" t="s">
        <v>189</v>
      </c>
      <c r="N44" s="236" t="s">
        <v>185</v>
      </c>
      <c r="O44" s="235" t="s">
        <v>172</v>
      </c>
      <c r="P44" s="235" t="s">
        <v>840</v>
      </c>
      <c r="Q44" s="238">
        <v>2013</v>
      </c>
      <c r="R44" s="239">
        <v>41935</v>
      </c>
      <c r="S44" s="238">
        <v>20</v>
      </c>
      <c r="T44" s="240" t="s">
        <v>841</v>
      </c>
      <c r="U44" s="238">
        <v>2</v>
      </c>
      <c r="V44" s="239" t="s">
        <v>989</v>
      </c>
      <c r="W44" s="241" t="s">
        <v>990</v>
      </c>
      <c r="X44" s="239">
        <v>42067</v>
      </c>
      <c r="Y44" s="239">
        <v>42096</v>
      </c>
      <c r="Z44" s="242" t="s">
        <v>152</v>
      </c>
      <c r="AA44" s="239">
        <v>42100</v>
      </c>
      <c r="AB44" s="235" t="s">
        <v>991</v>
      </c>
      <c r="AC44" s="239">
        <v>42100</v>
      </c>
      <c r="AD44" s="239">
        <v>42115</v>
      </c>
      <c r="AE44" s="243">
        <f t="shared" si="3"/>
        <v>0</v>
      </c>
      <c r="AF44" s="243">
        <f t="shared" si="6"/>
        <v>15</v>
      </c>
      <c r="AG44" s="235" t="s">
        <v>845</v>
      </c>
      <c r="AH44" s="244"/>
      <c r="AI44" s="244"/>
      <c r="AJ44" s="244"/>
      <c r="AK44" s="244"/>
      <c r="AL44" s="276" t="s">
        <v>2314</v>
      </c>
      <c r="AM44" s="276">
        <v>36</v>
      </c>
      <c r="AN44" s="276">
        <v>259</v>
      </c>
      <c r="AO44" s="276">
        <v>259</v>
      </c>
      <c r="AP44" s="276">
        <v>259</v>
      </c>
      <c r="AQ44" s="276">
        <v>259</v>
      </c>
      <c r="AR44" s="276">
        <v>259</v>
      </c>
      <c r="AS44" s="276">
        <v>259</v>
      </c>
      <c r="AT44" s="276"/>
      <c r="AU44" s="276"/>
      <c r="AV44" s="276"/>
      <c r="AW44" s="276"/>
      <c r="AX44" s="276"/>
      <c r="AY44" s="276"/>
      <c r="AZ44" s="276"/>
      <c r="BA44" s="276"/>
      <c r="BB44" s="276"/>
      <c r="BC44" s="245"/>
      <c r="BD44" s="246">
        <f t="shared" si="1"/>
        <v>227.14285714285714</v>
      </c>
      <c r="BE44" s="247">
        <f t="shared" si="2"/>
        <v>1590</v>
      </c>
      <c r="BF44" s="513">
        <v>42723</v>
      </c>
      <c r="BG44" s="513">
        <v>42726</v>
      </c>
      <c r="BH44" s="519">
        <v>74</v>
      </c>
      <c r="BI44" s="513">
        <v>42726</v>
      </c>
      <c r="BJ44" s="519">
        <v>222</v>
      </c>
      <c r="BK44" s="514" t="s">
        <v>2269</v>
      </c>
      <c r="BL44" s="513"/>
      <c r="BM44" s="513"/>
      <c r="BN44" s="519"/>
      <c r="BO44" s="513"/>
      <c r="BP44" s="519"/>
      <c r="BQ44" s="514"/>
      <c r="BR44" s="249">
        <v>42391</v>
      </c>
      <c r="BS44" s="250" t="s">
        <v>991</v>
      </c>
    </row>
    <row r="45" spans="1:71" ht="120.75" x14ac:dyDescent="0.4">
      <c r="A45" s="490"/>
      <c r="B45" s="260" t="s">
        <v>992</v>
      </c>
      <c r="C45" s="235" t="s">
        <v>833</v>
      </c>
      <c r="D45" s="260" t="s">
        <v>993</v>
      </c>
      <c r="E45" s="260" t="s">
        <v>548</v>
      </c>
      <c r="F45" s="260" t="s">
        <v>994</v>
      </c>
      <c r="G45" s="260" t="s">
        <v>995</v>
      </c>
      <c r="H45" s="236" t="s">
        <v>167</v>
      </c>
      <c r="I45" s="260" t="s">
        <v>951</v>
      </c>
      <c r="J45" s="260" t="s">
        <v>996</v>
      </c>
      <c r="K45" s="260" t="s">
        <v>997</v>
      </c>
      <c r="L45" s="260" t="s">
        <v>988</v>
      </c>
      <c r="M45" s="260" t="s">
        <v>189</v>
      </c>
      <c r="N45" s="236" t="s">
        <v>185</v>
      </c>
      <c r="O45" s="260" t="s">
        <v>153</v>
      </c>
      <c r="P45" s="260" t="s">
        <v>840</v>
      </c>
      <c r="Q45" s="253">
        <v>42059</v>
      </c>
      <c r="R45" s="253">
        <v>42408</v>
      </c>
      <c r="S45" s="261">
        <v>20</v>
      </c>
      <c r="T45" s="240" t="s">
        <v>841</v>
      </c>
      <c r="U45" s="285">
        <v>1</v>
      </c>
      <c r="V45" s="239">
        <v>42261</v>
      </c>
      <c r="W45" s="241" t="s">
        <v>843</v>
      </c>
      <c r="X45" s="253">
        <v>42418</v>
      </c>
      <c r="Y45" s="270">
        <v>42447</v>
      </c>
      <c r="Z45" s="262" t="s">
        <v>152</v>
      </c>
      <c r="AA45" s="253">
        <v>42454</v>
      </c>
      <c r="AB45" s="235" t="s">
        <v>998</v>
      </c>
      <c r="AC45" s="253">
        <v>42454</v>
      </c>
      <c r="AD45" s="253">
        <v>42563</v>
      </c>
      <c r="AE45" s="243">
        <f t="shared" si="3"/>
        <v>0</v>
      </c>
      <c r="AF45" s="243">
        <f t="shared" si="6"/>
        <v>109</v>
      </c>
      <c r="AG45" s="235" t="s">
        <v>845</v>
      </c>
      <c r="AH45" s="248"/>
      <c r="AI45" s="248"/>
      <c r="AJ45" s="248"/>
      <c r="AK45" s="248"/>
      <c r="AL45" s="276" t="s">
        <v>2314</v>
      </c>
      <c r="AM45" s="276" t="s">
        <v>2314</v>
      </c>
      <c r="AN45" s="276" t="s">
        <v>2314</v>
      </c>
      <c r="AO45" s="280">
        <v>99</v>
      </c>
      <c r="AP45" s="280">
        <v>111</v>
      </c>
      <c r="AQ45" s="280">
        <v>111</v>
      </c>
      <c r="AR45" s="280">
        <v>111</v>
      </c>
      <c r="AS45" s="280">
        <v>111</v>
      </c>
      <c r="AT45" s="280"/>
      <c r="AU45" s="280"/>
      <c r="AV45" s="280"/>
      <c r="AW45" s="280"/>
      <c r="AX45" s="280"/>
      <c r="AY45" s="280"/>
      <c r="AZ45" s="280"/>
      <c r="BA45" s="280"/>
      <c r="BB45" s="280"/>
      <c r="BC45" s="266"/>
      <c r="BD45" s="246">
        <f t="shared" si="1"/>
        <v>108.6</v>
      </c>
      <c r="BE45" s="247">
        <f t="shared" si="2"/>
        <v>543</v>
      </c>
      <c r="BF45" s="513">
        <v>43130</v>
      </c>
      <c r="BG45" s="513">
        <v>43139</v>
      </c>
      <c r="BH45" s="519">
        <v>37</v>
      </c>
      <c r="BI45" s="513">
        <v>43130</v>
      </c>
      <c r="BJ45" s="519">
        <v>108</v>
      </c>
      <c r="BK45" s="514" t="s">
        <v>2270</v>
      </c>
      <c r="BL45" s="513"/>
      <c r="BM45" s="513"/>
      <c r="BN45" s="519"/>
      <c r="BO45" s="513"/>
      <c r="BP45" s="519"/>
      <c r="BQ45" s="514"/>
      <c r="BR45" s="271">
        <v>42454</v>
      </c>
      <c r="BS45" s="250" t="s">
        <v>998</v>
      </c>
    </row>
    <row r="46" spans="1:71" ht="207" x14ac:dyDescent="0.4">
      <c r="A46" s="490"/>
      <c r="B46" s="260" t="s">
        <v>999</v>
      </c>
      <c r="C46" s="235" t="s">
        <v>833</v>
      </c>
      <c r="D46" s="260" t="s">
        <v>1000</v>
      </c>
      <c r="E46" s="260" t="s">
        <v>548</v>
      </c>
      <c r="F46" s="260" t="s">
        <v>1001</v>
      </c>
      <c r="G46" s="260" t="s">
        <v>995</v>
      </c>
      <c r="H46" s="236" t="s">
        <v>167</v>
      </c>
      <c r="I46" s="260" t="s">
        <v>951</v>
      </c>
      <c r="J46" s="260" t="s">
        <v>1002</v>
      </c>
      <c r="K46" s="260" t="s">
        <v>2322</v>
      </c>
      <c r="L46" s="260" t="s">
        <v>988</v>
      </c>
      <c r="M46" s="260" t="s">
        <v>189</v>
      </c>
      <c r="N46" s="236" t="s">
        <v>185</v>
      </c>
      <c r="O46" s="260" t="s">
        <v>153</v>
      </c>
      <c r="P46" s="260" t="s">
        <v>840</v>
      </c>
      <c r="Q46" s="253">
        <v>42059</v>
      </c>
      <c r="R46" s="253" t="s">
        <v>1003</v>
      </c>
      <c r="S46" s="261">
        <v>20</v>
      </c>
      <c r="T46" s="240" t="s">
        <v>841</v>
      </c>
      <c r="U46" s="285">
        <v>2</v>
      </c>
      <c r="V46" s="239">
        <v>42262</v>
      </c>
      <c r="W46" s="241" t="s">
        <v>843</v>
      </c>
      <c r="X46" s="253">
        <v>42418</v>
      </c>
      <c r="Y46" s="270">
        <v>42447</v>
      </c>
      <c r="Z46" s="262" t="s">
        <v>152</v>
      </c>
      <c r="AA46" s="253">
        <v>42454</v>
      </c>
      <c r="AB46" s="235" t="s">
        <v>998</v>
      </c>
      <c r="AC46" s="253">
        <v>42454</v>
      </c>
      <c r="AD46" s="253">
        <v>42563</v>
      </c>
      <c r="AE46" s="243">
        <f t="shared" si="3"/>
        <v>0</v>
      </c>
      <c r="AF46" s="243">
        <f t="shared" si="6"/>
        <v>109</v>
      </c>
      <c r="AG46" s="235" t="s">
        <v>845</v>
      </c>
      <c r="AH46" s="248"/>
      <c r="AI46" s="248"/>
      <c r="AJ46" s="248"/>
      <c r="AK46" s="248"/>
      <c r="AL46" s="276" t="s">
        <v>2314</v>
      </c>
      <c r="AM46" s="276" t="s">
        <v>2314</v>
      </c>
      <c r="AN46" s="276" t="s">
        <v>2314</v>
      </c>
      <c r="AO46" s="280">
        <v>299</v>
      </c>
      <c r="AP46" s="280">
        <v>320</v>
      </c>
      <c r="AQ46" s="280">
        <v>320</v>
      </c>
      <c r="AR46" s="280">
        <v>320</v>
      </c>
      <c r="AS46" s="280">
        <v>320</v>
      </c>
      <c r="AT46" s="280"/>
      <c r="AU46" s="280"/>
      <c r="AV46" s="280"/>
      <c r="AW46" s="280"/>
      <c r="AX46" s="280"/>
      <c r="AY46" s="280"/>
      <c r="AZ46" s="280"/>
      <c r="BA46" s="280"/>
      <c r="BB46" s="280"/>
      <c r="BC46" s="266"/>
      <c r="BD46" s="246">
        <f t="shared" si="1"/>
        <v>315.8</v>
      </c>
      <c r="BE46" s="247">
        <f t="shared" si="2"/>
        <v>1579</v>
      </c>
      <c r="BF46" s="513">
        <v>43130</v>
      </c>
      <c r="BG46" s="513">
        <v>43139</v>
      </c>
      <c r="BH46" s="519">
        <v>111</v>
      </c>
      <c r="BI46" s="513">
        <v>43130</v>
      </c>
      <c r="BJ46" s="519">
        <v>329</v>
      </c>
      <c r="BK46" s="514" t="s">
        <v>2271</v>
      </c>
      <c r="BL46" s="513"/>
      <c r="BM46" s="513"/>
      <c r="BN46" s="519"/>
      <c r="BO46" s="513"/>
      <c r="BP46" s="519"/>
      <c r="BQ46" s="514"/>
      <c r="BR46" s="271">
        <v>43032</v>
      </c>
      <c r="BS46" s="250" t="s">
        <v>1004</v>
      </c>
    </row>
    <row r="47" spans="1:71" ht="69" x14ac:dyDescent="0.4">
      <c r="A47" s="490"/>
      <c r="B47" s="260" t="s">
        <v>2057</v>
      </c>
      <c r="C47" s="260" t="s">
        <v>2366</v>
      </c>
      <c r="D47" s="260" t="s">
        <v>2058</v>
      </c>
      <c r="E47" s="260" t="s">
        <v>553</v>
      </c>
      <c r="F47" s="260" t="s">
        <v>2059</v>
      </c>
      <c r="G47" s="260" t="s">
        <v>2060</v>
      </c>
      <c r="H47" s="375" t="s">
        <v>404</v>
      </c>
      <c r="I47" s="260" t="s">
        <v>148</v>
      </c>
      <c r="J47" s="260" t="s">
        <v>2061</v>
      </c>
      <c r="K47" s="260" t="s">
        <v>2062</v>
      </c>
      <c r="L47" s="260" t="s">
        <v>2063</v>
      </c>
      <c r="M47" s="235" t="s">
        <v>146</v>
      </c>
      <c r="N47" s="236" t="s">
        <v>1826</v>
      </c>
      <c r="O47" s="260" t="s">
        <v>337</v>
      </c>
      <c r="P47" s="260" t="s">
        <v>840</v>
      </c>
      <c r="Q47" s="253">
        <v>42381</v>
      </c>
      <c r="R47" s="253">
        <v>42760</v>
      </c>
      <c r="S47" s="261">
        <v>5</v>
      </c>
      <c r="T47" s="240" t="s">
        <v>841</v>
      </c>
      <c r="U47" s="285">
        <v>1</v>
      </c>
      <c r="V47" s="239">
        <v>43039</v>
      </c>
      <c r="W47" s="241" t="s">
        <v>2064</v>
      </c>
      <c r="X47" s="253">
        <v>43130</v>
      </c>
      <c r="Y47" s="270">
        <v>43159</v>
      </c>
      <c r="Z47" s="262" t="s">
        <v>152</v>
      </c>
      <c r="AA47" s="253">
        <v>43179</v>
      </c>
      <c r="AB47" s="235" t="s">
        <v>2065</v>
      </c>
      <c r="AC47" s="253">
        <v>43185</v>
      </c>
      <c r="AD47" s="253">
        <v>43294</v>
      </c>
      <c r="AE47" s="243">
        <f t="shared" si="3"/>
        <v>6</v>
      </c>
      <c r="AF47" s="243">
        <f t="shared" si="6"/>
        <v>109</v>
      </c>
      <c r="AG47" s="235" t="s">
        <v>845</v>
      </c>
      <c r="AH47" s="248"/>
      <c r="AI47" s="248"/>
      <c r="AJ47" s="248"/>
      <c r="AK47" s="248"/>
      <c r="AL47" s="276" t="s">
        <v>2314</v>
      </c>
      <c r="AM47" s="276" t="s">
        <v>2314</v>
      </c>
      <c r="AN47" s="276" t="s">
        <v>2314</v>
      </c>
      <c r="AO47" s="276" t="s">
        <v>2314</v>
      </c>
      <c r="AP47" s="536">
        <v>3073</v>
      </c>
      <c r="AQ47" s="280">
        <v>3289</v>
      </c>
      <c r="AR47" s="280">
        <v>3289</v>
      </c>
      <c r="AS47" s="280">
        <v>3289</v>
      </c>
      <c r="AT47" s="280">
        <v>3289</v>
      </c>
      <c r="AU47" s="280">
        <v>216</v>
      </c>
      <c r="AV47" s="280"/>
      <c r="AW47" s="280"/>
      <c r="AX47" s="280"/>
      <c r="AY47" s="280"/>
      <c r="AZ47" s="280"/>
      <c r="BA47" s="280"/>
      <c r="BB47" s="280"/>
      <c r="BC47" s="266"/>
      <c r="BD47" s="246">
        <f>BE47/COUNT(AL47:BC47)</f>
        <v>2740.8333333333335</v>
      </c>
      <c r="BE47" s="247">
        <f t="shared" si="2"/>
        <v>16445</v>
      </c>
      <c r="BF47" s="513">
        <v>43895</v>
      </c>
      <c r="BG47" s="513" t="s">
        <v>2430</v>
      </c>
      <c r="BH47" s="519">
        <v>2226</v>
      </c>
      <c r="BI47" s="513">
        <v>43900</v>
      </c>
      <c r="BJ47" s="519">
        <v>3074</v>
      </c>
      <c r="BK47" s="514" t="s">
        <v>2382</v>
      </c>
      <c r="BL47" s="513"/>
      <c r="BM47" s="513"/>
      <c r="BN47" s="519"/>
      <c r="BO47" s="513"/>
      <c r="BP47" s="519"/>
      <c r="BQ47" s="514"/>
      <c r="BR47" s="271"/>
      <c r="BS47" s="250"/>
    </row>
    <row r="48" spans="1:71" ht="86.25" x14ac:dyDescent="0.4">
      <c r="A48" s="490"/>
      <c r="B48" s="260" t="s">
        <v>564</v>
      </c>
      <c r="C48" s="235" t="s">
        <v>833</v>
      </c>
      <c r="D48" s="260" t="s">
        <v>1005</v>
      </c>
      <c r="E48" s="260" t="s">
        <v>560</v>
      </c>
      <c r="F48" s="260" t="s">
        <v>1006</v>
      </c>
      <c r="G48" s="260" t="s">
        <v>995</v>
      </c>
      <c r="H48" s="236" t="s">
        <v>167</v>
      </c>
      <c r="I48" s="260" t="s">
        <v>951</v>
      </c>
      <c r="J48" s="260" t="s">
        <v>1007</v>
      </c>
      <c r="K48" s="260" t="s">
        <v>1008</v>
      </c>
      <c r="L48" s="260" t="s">
        <v>1009</v>
      </c>
      <c r="M48" s="260" t="s">
        <v>189</v>
      </c>
      <c r="N48" s="236" t="s">
        <v>185</v>
      </c>
      <c r="O48" s="235" t="s">
        <v>172</v>
      </c>
      <c r="P48" s="235" t="s">
        <v>840</v>
      </c>
      <c r="Q48" s="253">
        <v>42185</v>
      </c>
      <c r="R48" s="253" t="s">
        <v>1010</v>
      </c>
      <c r="S48" s="261">
        <v>10</v>
      </c>
      <c r="T48" s="240" t="s">
        <v>841</v>
      </c>
      <c r="U48" s="285">
        <v>1</v>
      </c>
      <c r="V48" s="239">
        <v>42562</v>
      </c>
      <c r="W48" s="241" t="s">
        <v>1011</v>
      </c>
      <c r="X48" s="253">
        <v>42922</v>
      </c>
      <c r="Y48" s="270">
        <v>42951</v>
      </c>
      <c r="Z48" s="262" t="s">
        <v>152</v>
      </c>
      <c r="AA48" s="253">
        <v>42955</v>
      </c>
      <c r="AB48" s="235" t="s">
        <v>1012</v>
      </c>
      <c r="AC48" s="253">
        <v>42955</v>
      </c>
      <c r="AD48" s="253">
        <v>42968</v>
      </c>
      <c r="AE48" s="243">
        <f t="shared" si="3"/>
        <v>0</v>
      </c>
      <c r="AF48" s="243">
        <f t="shared" si="6"/>
        <v>13</v>
      </c>
      <c r="AG48" s="235" t="s">
        <v>845</v>
      </c>
      <c r="AH48" s="248"/>
      <c r="AI48" s="248"/>
      <c r="AJ48" s="248"/>
      <c r="AK48" s="248"/>
      <c r="AL48" s="276" t="s">
        <v>2314</v>
      </c>
      <c r="AM48" s="276" t="s">
        <v>2314</v>
      </c>
      <c r="AN48" s="276" t="s">
        <v>2314</v>
      </c>
      <c r="AO48" s="280">
        <v>236</v>
      </c>
      <c r="AP48" s="507">
        <v>491</v>
      </c>
      <c r="AQ48" s="507">
        <v>491</v>
      </c>
      <c r="AR48" s="507">
        <v>491</v>
      </c>
      <c r="AS48" s="507">
        <v>491</v>
      </c>
      <c r="AT48" s="507"/>
      <c r="AU48" s="507"/>
      <c r="AV48" s="507"/>
      <c r="AW48" s="507"/>
      <c r="AX48" s="507"/>
      <c r="AY48" s="280"/>
      <c r="AZ48" s="280"/>
      <c r="BA48" s="280"/>
      <c r="BB48" s="280"/>
      <c r="BC48" s="266"/>
      <c r="BD48" s="246">
        <f t="shared" si="1"/>
        <v>440</v>
      </c>
      <c r="BE48" s="247">
        <f t="shared" si="2"/>
        <v>2200</v>
      </c>
      <c r="BF48" s="513">
        <v>43210</v>
      </c>
      <c r="BG48" s="513">
        <v>43220</v>
      </c>
      <c r="BH48" s="519">
        <v>149</v>
      </c>
      <c r="BI48" s="513">
        <v>43213</v>
      </c>
      <c r="BJ48" s="519">
        <v>151</v>
      </c>
      <c r="BK48" s="514" t="s">
        <v>2272</v>
      </c>
      <c r="BL48" s="513"/>
      <c r="BM48" s="513"/>
      <c r="BN48" s="519"/>
      <c r="BO48" s="513"/>
      <c r="BP48" s="519"/>
      <c r="BQ48" s="514"/>
      <c r="BR48" s="271">
        <v>43128</v>
      </c>
      <c r="BS48" s="250" t="s">
        <v>1012</v>
      </c>
    </row>
    <row r="49" spans="1:71" ht="103.5" x14ac:dyDescent="0.4">
      <c r="A49" s="490"/>
      <c r="B49" s="260" t="s">
        <v>591</v>
      </c>
      <c r="C49" s="260" t="s">
        <v>2311</v>
      </c>
      <c r="D49" s="260" t="s">
        <v>2066</v>
      </c>
      <c r="E49" s="260" t="s">
        <v>560</v>
      </c>
      <c r="F49" s="260" t="s">
        <v>2067</v>
      </c>
      <c r="G49" s="260" t="s">
        <v>911</v>
      </c>
      <c r="H49" s="375" t="s">
        <v>404</v>
      </c>
      <c r="I49" s="235" t="s">
        <v>148</v>
      </c>
      <c r="J49" s="260" t="s">
        <v>2068</v>
      </c>
      <c r="K49" s="248" t="s">
        <v>2069</v>
      </c>
      <c r="L49" s="260" t="s">
        <v>2070</v>
      </c>
      <c r="M49" s="260" t="s">
        <v>146</v>
      </c>
      <c r="N49" s="236" t="s">
        <v>915</v>
      </c>
      <c r="O49" s="235" t="s">
        <v>337</v>
      </c>
      <c r="P49" s="235" t="s">
        <v>840</v>
      </c>
      <c r="Q49" s="253">
        <v>42185</v>
      </c>
      <c r="R49" s="253">
        <v>42398</v>
      </c>
      <c r="S49" s="261">
        <v>7</v>
      </c>
      <c r="T49" s="240" t="s">
        <v>841</v>
      </c>
      <c r="U49" s="285">
        <v>1</v>
      </c>
      <c r="V49" s="239">
        <v>43082</v>
      </c>
      <c r="W49" s="241" t="s">
        <v>895</v>
      </c>
      <c r="X49" s="253">
        <v>43137</v>
      </c>
      <c r="Y49" s="270">
        <v>43166</v>
      </c>
      <c r="Z49" s="262" t="s">
        <v>152</v>
      </c>
      <c r="AA49" s="253">
        <v>43167</v>
      </c>
      <c r="AB49" s="235" t="s">
        <v>1018</v>
      </c>
      <c r="AC49" s="253">
        <v>43168</v>
      </c>
      <c r="AD49" s="253">
        <v>43210</v>
      </c>
      <c r="AE49" s="243">
        <f t="shared" si="3"/>
        <v>1</v>
      </c>
      <c r="AF49" s="243">
        <f t="shared" si="6"/>
        <v>42</v>
      </c>
      <c r="AG49" s="235" t="s">
        <v>845</v>
      </c>
      <c r="AH49" s="248"/>
      <c r="AI49" s="248"/>
      <c r="AJ49" s="248"/>
      <c r="AK49" s="248"/>
      <c r="AL49" s="276" t="s">
        <v>2314</v>
      </c>
      <c r="AM49" s="276" t="s">
        <v>2314</v>
      </c>
      <c r="AN49" s="276" t="s">
        <v>2314</v>
      </c>
      <c r="AO49" s="280">
        <v>6</v>
      </c>
      <c r="AP49" s="507">
        <v>37</v>
      </c>
      <c r="AQ49" s="507">
        <v>390</v>
      </c>
      <c r="AR49" s="507">
        <v>390</v>
      </c>
      <c r="AS49" s="507">
        <v>390</v>
      </c>
      <c r="AT49" s="507">
        <v>390</v>
      </c>
      <c r="AU49" s="507">
        <v>390</v>
      </c>
      <c r="AV49" s="507">
        <v>32</v>
      </c>
      <c r="AW49" s="507"/>
      <c r="AX49" s="507"/>
      <c r="AY49" s="280"/>
      <c r="AZ49" s="280"/>
      <c r="BA49" s="280"/>
      <c r="BB49" s="280"/>
      <c r="BC49" s="266"/>
      <c r="BD49" s="246">
        <f t="shared" si="1"/>
        <v>253.125</v>
      </c>
      <c r="BE49" s="247">
        <f t="shared" si="2"/>
        <v>2025</v>
      </c>
      <c r="BF49" s="513"/>
      <c r="BG49" s="513"/>
      <c r="BH49" s="519"/>
      <c r="BI49" s="513"/>
      <c r="BJ49" s="519"/>
      <c r="BK49" s="514"/>
      <c r="BL49" s="513"/>
      <c r="BM49" s="513"/>
      <c r="BN49" s="519"/>
      <c r="BO49" s="513"/>
      <c r="BP49" s="519"/>
      <c r="BQ49" s="514"/>
      <c r="BR49" s="267"/>
      <c r="BS49" s="268"/>
    </row>
    <row r="50" spans="1:71" ht="86.25" x14ac:dyDescent="0.4">
      <c r="A50" s="490"/>
      <c r="B50" s="260" t="s">
        <v>608</v>
      </c>
      <c r="C50" s="235" t="s">
        <v>833</v>
      </c>
      <c r="D50" s="260" t="s">
        <v>1013</v>
      </c>
      <c r="E50" s="260" t="s">
        <v>560</v>
      </c>
      <c r="F50" s="260" t="s">
        <v>1014</v>
      </c>
      <c r="G50" s="260" t="s">
        <v>603</v>
      </c>
      <c r="H50" s="375" t="s">
        <v>404</v>
      </c>
      <c r="I50" s="235" t="s">
        <v>148</v>
      </c>
      <c r="J50" s="260" t="s">
        <v>1015</v>
      </c>
      <c r="K50" s="248" t="s">
        <v>1016</v>
      </c>
      <c r="L50" s="260" t="s">
        <v>1017</v>
      </c>
      <c r="M50" s="260" t="s">
        <v>146</v>
      </c>
      <c r="N50" s="236" t="s">
        <v>195</v>
      </c>
      <c r="O50" s="235" t="s">
        <v>172</v>
      </c>
      <c r="P50" s="235" t="s">
        <v>840</v>
      </c>
      <c r="Q50" s="253">
        <v>42381</v>
      </c>
      <c r="R50" s="253">
        <v>42826</v>
      </c>
      <c r="S50" s="261">
        <v>8</v>
      </c>
      <c r="T50" s="240" t="s">
        <v>841</v>
      </c>
      <c r="U50" s="285">
        <v>1</v>
      </c>
      <c r="V50" s="239">
        <v>42696</v>
      </c>
      <c r="W50" s="241" t="s">
        <v>895</v>
      </c>
      <c r="X50" s="253">
        <v>43148</v>
      </c>
      <c r="Y50" s="270">
        <v>43177</v>
      </c>
      <c r="Z50" s="262" t="s">
        <v>152</v>
      </c>
      <c r="AA50" s="253">
        <v>43181</v>
      </c>
      <c r="AB50" s="235" t="s">
        <v>1018</v>
      </c>
      <c r="AC50" s="253">
        <v>43194</v>
      </c>
      <c r="AD50" s="253">
        <v>43210</v>
      </c>
      <c r="AE50" s="243">
        <f t="shared" si="3"/>
        <v>13</v>
      </c>
      <c r="AF50" s="243">
        <f t="shared" si="6"/>
        <v>16</v>
      </c>
      <c r="AG50" s="235" t="s">
        <v>845</v>
      </c>
      <c r="AH50" s="248"/>
      <c r="AI50" s="248"/>
      <c r="AJ50" s="248"/>
      <c r="AK50" s="248"/>
      <c r="AL50" s="276" t="s">
        <v>2314</v>
      </c>
      <c r="AM50" s="276" t="s">
        <v>2314</v>
      </c>
      <c r="AN50" s="276" t="s">
        <v>2314</v>
      </c>
      <c r="AO50" s="276" t="s">
        <v>2314</v>
      </c>
      <c r="AP50" s="507">
        <v>2820</v>
      </c>
      <c r="AQ50" s="507">
        <v>3744</v>
      </c>
      <c r="AR50" s="507">
        <v>3744</v>
      </c>
      <c r="AS50" s="507">
        <v>3744</v>
      </c>
      <c r="AT50" s="507">
        <v>3744</v>
      </c>
      <c r="AU50" s="507">
        <v>3744</v>
      </c>
      <c r="AV50" s="507">
        <v>3744</v>
      </c>
      <c r="AW50" s="507">
        <v>3744</v>
      </c>
      <c r="AX50" s="507">
        <v>922</v>
      </c>
      <c r="AY50" s="280"/>
      <c r="AZ50" s="280"/>
      <c r="BA50" s="280"/>
      <c r="BB50" s="280"/>
      <c r="BC50" s="266"/>
      <c r="BD50" s="246">
        <f t="shared" si="1"/>
        <v>3327.7777777777778</v>
      </c>
      <c r="BE50" s="247">
        <f t="shared" si="2"/>
        <v>29950</v>
      </c>
      <c r="BF50" s="513">
        <v>43679</v>
      </c>
      <c r="BG50" s="513">
        <v>43682</v>
      </c>
      <c r="BH50" s="519">
        <v>1202</v>
      </c>
      <c r="BI50" s="513">
        <v>43682</v>
      </c>
      <c r="BJ50" s="519">
        <v>1202</v>
      </c>
      <c r="BK50" s="514" t="s">
        <v>2273</v>
      </c>
      <c r="BL50" s="513"/>
      <c r="BM50" s="513"/>
      <c r="BN50" s="519"/>
      <c r="BO50" s="513"/>
      <c r="BP50" s="519"/>
      <c r="BQ50" s="514"/>
      <c r="BR50" s="267"/>
      <c r="BS50" s="268"/>
    </row>
    <row r="51" spans="1:71" ht="69" x14ac:dyDescent="0.4">
      <c r="A51" s="490"/>
      <c r="B51" s="260" t="s">
        <v>572</v>
      </c>
      <c r="C51" s="235" t="s">
        <v>833</v>
      </c>
      <c r="D51" s="260" t="s">
        <v>1019</v>
      </c>
      <c r="E51" s="260" t="s">
        <v>560</v>
      </c>
      <c r="F51" s="260" t="s">
        <v>1014</v>
      </c>
      <c r="G51" s="260" t="s">
        <v>603</v>
      </c>
      <c r="H51" s="375" t="s">
        <v>404</v>
      </c>
      <c r="I51" s="235" t="s">
        <v>148</v>
      </c>
      <c r="J51" s="260" t="s">
        <v>1015</v>
      </c>
      <c r="K51" s="248" t="s">
        <v>1016</v>
      </c>
      <c r="L51" s="260" t="s">
        <v>1020</v>
      </c>
      <c r="M51" s="260" t="s">
        <v>146</v>
      </c>
      <c r="N51" s="236" t="s">
        <v>195</v>
      </c>
      <c r="O51" s="235" t="s">
        <v>172</v>
      </c>
      <c r="P51" s="235" t="s">
        <v>840</v>
      </c>
      <c r="Q51" s="253">
        <v>42381</v>
      </c>
      <c r="R51" s="253">
        <v>42826</v>
      </c>
      <c r="S51" s="261">
        <v>8</v>
      </c>
      <c r="T51" s="240" t="s">
        <v>841</v>
      </c>
      <c r="U51" s="285">
        <v>1</v>
      </c>
      <c r="V51" s="239">
        <v>42696</v>
      </c>
      <c r="W51" s="241" t="s">
        <v>1021</v>
      </c>
      <c r="X51" s="253">
        <v>43148</v>
      </c>
      <c r="Y51" s="270">
        <v>43177</v>
      </c>
      <c r="Z51" s="262" t="s">
        <v>152</v>
      </c>
      <c r="AA51" s="253">
        <v>43181</v>
      </c>
      <c r="AB51" s="235" t="s">
        <v>1018</v>
      </c>
      <c r="AC51" s="253">
        <v>43194</v>
      </c>
      <c r="AD51" s="253">
        <v>43210</v>
      </c>
      <c r="AE51" s="243">
        <f t="shared" si="3"/>
        <v>13</v>
      </c>
      <c r="AF51" s="243">
        <f t="shared" si="6"/>
        <v>16</v>
      </c>
      <c r="AG51" s="235" t="s">
        <v>845</v>
      </c>
      <c r="AH51" s="248"/>
      <c r="AI51" s="248"/>
      <c r="AJ51" s="248"/>
      <c r="AK51" s="248"/>
      <c r="AL51" s="276" t="s">
        <v>2314</v>
      </c>
      <c r="AM51" s="276" t="s">
        <v>2314</v>
      </c>
      <c r="AN51" s="276" t="s">
        <v>2314</v>
      </c>
      <c r="AO51" s="276" t="s">
        <v>2314</v>
      </c>
      <c r="AP51" s="507">
        <v>274</v>
      </c>
      <c r="AQ51" s="507">
        <v>365</v>
      </c>
      <c r="AR51" s="507">
        <v>365</v>
      </c>
      <c r="AS51" s="507">
        <v>365</v>
      </c>
      <c r="AT51" s="507">
        <v>365</v>
      </c>
      <c r="AU51" s="507">
        <v>365</v>
      </c>
      <c r="AV51" s="507">
        <v>365</v>
      </c>
      <c r="AW51" s="507">
        <v>365</v>
      </c>
      <c r="AX51" s="507">
        <v>89</v>
      </c>
      <c r="AY51" s="280"/>
      <c r="AZ51" s="280"/>
      <c r="BA51" s="280"/>
      <c r="BB51" s="280"/>
      <c r="BC51" s="266"/>
      <c r="BD51" s="246">
        <f t="shared" si="1"/>
        <v>324.22222222222223</v>
      </c>
      <c r="BE51" s="247">
        <f t="shared" si="2"/>
        <v>2918</v>
      </c>
      <c r="BF51" s="513">
        <v>43679</v>
      </c>
      <c r="BG51" s="513">
        <v>43682</v>
      </c>
      <c r="BH51" s="519">
        <v>57</v>
      </c>
      <c r="BI51" s="513">
        <v>43682</v>
      </c>
      <c r="BJ51" s="519">
        <v>58</v>
      </c>
      <c r="BK51" s="514" t="s">
        <v>2273</v>
      </c>
      <c r="BL51" s="513"/>
      <c r="BM51" s="513"/>
      <c r="BN51" s="519"/>
      <c r="BO51" s="513"/>
      <c r="BP51" s="519"/>
      <c r="BQ51" s="514"/>
      <c r="BR51" s="267"/>
      <c r="BS51" s="268"/>
    </row>
    <row r="52" spans="1:71" ht="155.25" x14ac:dyDescent="0.4">
      <c r="A52" s="490"/>
      <c r="B52" s="263" t="s">
        <v>2071</v>
      </c>
      <c r="C52" s="263" t="s">
        <v>2312</v>
      </c>
      <c r="D52" s="260" t="s">
        <v>1503</v>
      </c>
      <c r="E52" s="260" t="s">
        <v>560</v>
      </c>
      <c r="F52" s="260" t="s">
        <v>2072</v>
      </c>
      <c r="G52" s="260" t="s">
        <v>1204</v>
      </c>
      <c r="H52" s="236" t="s">
        <v>167</v>
      </c>
      <c r="I52" s="235" t="s">
        <v>951</v>
      </c>
      <c r="J52" s="263" t="s">
        <v>2073</v>
      </c>
      <c r="K52" s="236" t="s">
        <v>2074</v>
      </c>
      <c r="L52" s="260" t="s">
        <v>2075</v>
      </c>
      <c r="M52" s="281" t="s">
        <v>412</v>
      </c>
      <c r="N52" s="236" t="s">
        <v>2076</v>
      </c>
      <c r="O52" s="235" t="s">
        <v>172</v>
      </c>
      <c r="P52" s="235" t="s">
        <v>840</v>
      </c>
      <c r="Q52" s="444">
        <v>2016</v>
      </c>
      <c r="R52" s="272">
        <v>43070</v>
      </c>
      <c r="S52" s="261">
        <v>10</v>
      </c>
      <c r="T52" s="240" t="s">
        <v>841</v>
      </c>
      <c r="U52" s="285">
        <v>1</v>
      </c>
      <c r="V52" s="239">
        <v>43059</v>
      </c>
      <c r="W52" s="236" t="s">
        <v>2077</v>
      </c>
      <c r="X52" s="272">
        <v>43187</v>
      </c>
      <c r="Y52" s="274">
        <v>43216</v>
      </c>
      <c r="Z52" s="242" t="s">
        <v>152</v>
      </c>
      <c r="AA52" s="253">
        <v>43307</v>
      </c>
      <c r="AB52" s="263" t="s">
        <v>2078</v>
      </c>
      <c r="AC52" s="272">
        <v>43346</v>
      </c>
      <c r="AD52" s="253">
        <v>43479</v>
      </c>
      <c r="AE52" s="243">
        <f t="shared" si="3"/>
        <v>39</v>
      </c>
      <c r="AF52" s="279">
        <f t="shared" si="6"/>
        <v>133</v>
      </c>
      <c r="AG52" s="235"/>
      <c r="AH52" s="248"/>
      <c r="AI52" s="248"/>
      <c r="AJ52" s="248"/>
      <c r="AK52" s="248"/>
      <c r="AL52" s="276" t="s">
        <v>2314</v>
      </c>
      <c r="AM52" s="276" t="s">
        <v>2314</v>
      </c>
      <c r="AN52" s="276" t="s">
        <v>2314</v>
      </c>
      <c r="AO52" s="276" t="s">
        <v>2314</v>
      </c>
      <c r="AP52" s="507">
        <v>98</v>
      </c>
      <c r="AQ52" s="507">
        <v>1179</v>
      </c>
      <c r="AR52" s="507">
        <v>1179</v>
      </c>
      <c r="AS52" s="507">
        <v>1179</v>
      </c>
      <c r="AT52" s="507">
        <v>1179</v>
      </c>
      <c r="AU52" s="507">
        <v>1179</v>
      </c>
      <c r="AV52" s="507">
        <v>1179</v>
      </c>
      <c r="AW52" s="507">
        <v>1179</v>
      </c>
      <c r="AX52" s="507">
        <v>1179</v>
      </c>
      <c r="AY52" s="280">
        <v>1179</v>
      </c>
      <c r="AZ52" s="280">
        <v>1081</v>
      </c>
      <c r="BA52" s="280"/>
      <c r="BB52" s="280"/>
      <c r="BC52" s="266"/>
      <c r="BD52" s="246">
        <f t="shared" si="1"/>
        <v>1071.8181818181818</v>
      </c>
      <c r="BE52" s="247">
        <f>SUM(AL52:BC52)</f>
        <v>11790</v>
      </c>
      <c r="BF52" s="513"/>
      <c r="BG52" s="513"/>
      <c r="BH52" s="519"/>
      <c r="BI52" s="513"/>
      <c r="BJ52" s="519"/>
      <c r="BK52" s="514"/>
      <c r="BL52" s="513"/>
      <c r="BM52" s="513"/>
      <c r="BN52" s="519"/>
      <c r="BO52" s="513"/>
      <c r="BP52" s="519"/>
      <c r="BQ52" s="514"/>
      <c r="BR52" s="267"/>
      <c r="BS52" s="268"/>
    </row>
    <row r="53" spans="1:71" ht="258.75" x14ac:dyDescent="0.4">
      <c r="A53" s="490"/>
      <c r="B53" s="263" t="s">
        <v>2079</v>
      </c>
      <c r="C53" s="263" t="s">
        <v>2312</v>
      </c>
      <c r="D53" s="260" t="s">
        <v>2080</v>
      </c>
      <c r="E53" s="260" t="s">
        <v>560</v>
      </c>
      <c r="F53" s="260" t="s">
        <v>2081</v>
      </c>
      <c r="G53" s="260" t="s">
        <v>2082</v>
      </c>
      <c r="H53" s="375" t="s">
        <v>404</v>
      </c>
      <c r="I53" s="235" t="s">
        <v>148</v>
      </c>
      <c r="J53" s="263" t="s">
        <v>2083</v>
      </c>
      <c r="K53" s="236" t="s">
        <v>2084</v>
      </c>
      <c r="L53" s="260" t="s">
        <v>2085</v>
      </c>
      <c r="M53" s="281" t="s">
        <v>2086</v>
      </c>
      <c r="N53" s="236" t="s">
        <v>1844</v>
      </c>
      <c r="O53" s="235" t="s">
        <v>172</v>
      </c>
      <c r="P53" s="235" t="s">
        <v>840</v>
      </c>
      <c r="Q53" s="253">
        <v>42566</v>
      </c>
      <c r="R53" s="272">
        <v>43187</v>
      </c>
      <c r="S53" s="261">
        <v>15</v>
      </c>
      <c r="T53" s="240" t="s">
        <v>894</v>
      </c>
      <c r="U53" s="285">
        <v>1</v>
      </c>
      <c r="V53" s="239"/>
      <c r="W53" s="236" t="s">
        <v>1817</v>
      </c>
      <c r="X53" s="272">
        <v>43369</v>
      </c>
      <c r="Y53" s="274">
        <v>43398</v>
      </c>
      <c r="Z53" s="242" t="s">
        <v>152</v>
      </c>
      <c r="AA53" s="253">
        <v>43523</v>
      </c>
      <c r="AB53" s="263" t="s">
        <v>2087</v>
      </c>
      <c r="AC53" s="272">
        <v>43530</v>
      </c>
      <c r="AD53" s="272">
        <v>43679</v>
      </c>
      <c r="AE53" s="279">
        <f t="shared" si="3"/>
        <v>7</v>
      </c>
      <c r="AF53" s="279">
        <f t="shared" si="6"/>
        <v>149</v>
      </c>
      <c r="AG53" s="235"/>
      <c r="AH53" s="248"/>
      <c r="AI53" s="248"/>
      <c r="AJ53" s="248"/>
      <c r="AK53" s="248"/>
      <c r="AL53" s="276" t="s">
        <v>2314</v>
      </c>
      <c r="AM53" s="276" t="s">
        <v>2314</v>
      </c>
      <c r="AN53" s="276" t="s">
        <v>2314</v>
      </c>
      <c r="AO53" s="276" t="s">
        <v>2314</v>
      </c>
      <c r="AP53" s="276" t="s">
        <v>2314</v>
      </c>
      <c r="AQ53" s="276">
        <v>22737</v>
      </c>
      <c r="AR53" s="507">
        <v>29746</v>
      </c>
      <c r="AS53" s="507">
        <v>29746</v>
      </c>
      <c r="AT53" s="507">
        <v>29746</v>
      </c>
      <c r="AU53" s="507">
        <v>29746</v>
      </c>
      <c r="AV53" s="507">
        <v>29746</v>
      </c>
      <c r="AW53" s="507">
        <v>29746</v>
      </c>
      <c r="AX53" s="507">
        <v>29746</v>
      </c>
      <c r="AY53" s="507">
        <v>29746</v>
      </c>
      <c r="AZ53" s="507">
        <v>29746</v>
      </c>
      <c r="BA53" s="507">
        <v>29746</v>
      </c>
      <c r="BB53" s="507">
        <v>29746</v>
      </c>
      <c r="BC53" s="286">
        <v>29746</v>
      </c>
      <c r="BD53" s="246">
        <f>BE53/COUNT(AL53:BC53)</f>
        <v>29206.846153846152</v>
      </c>
      <c r="BE53" s="247">
        <f>SUM(AL53:BC53)</f>
        <v>379689</v>
      </c>
      <c r="BF53" s="513"/>
      <c r="BG53" s="513"/>
      <c r="BH53" s="519"/>
      <c r="BI53" s="513"/>
      <c r="BJ53" s="519"/>
      <c r="BK53" s="514"/>
      <c r="BL53" s="513"/>
      <c r="BM53" s="513"/>
      <c r="BN53" s="519"/>
      <c r="BO53" s="513"/>
      <c r="BP53" s="519"/>
      <c r="BQ53" s="514"/>
      <c r="BR53" s="267"/>
      <c r="BS53" s="268"/>
    </row>
    <row r="54" spans="1:71" ht="86.25" x14ac:dyDescent="0.4">
      <c r="A54" s="490"/>
      <c r="B54" s="263" t="s">
        <v>2392</v>
      </c>
      <c r="C54" s="263" t="s">
        <v>2391</v>
      </c>
      <c r="D54" s="263" t="s">
        <v>2420</v>
      </c>
      <c r="E54" s="263" t="s">
        <v>560</v>
      </c>
      <c r="F54" s="263" t="s">
        <v>2393</v>
      </c>
      <c r="G54" s="263" t="s">
        <v>1204</v>
      </c>
      <c r="H54" s="562" t="s">
        <v>2421</v>
      </c>
      <c r="I54" s="263" t="s">
        <v>2422</v>
      </c>
      <c r="J54" s="269" t="s">
        <v>2423</v>
      </c>
      <c r="K54" s="269" t="s">
        <v>2423</v>
      </c>
      <c r="L54" s="263" t="s">
        <v>2075</v>
      </c>
      <c r="M54" s="269" t="s">
        <v>2424</v>
      </c>
      <c r="N54" s="269" t="s">
        <v>185</v>
      </c>
      <c r="O54" s="263" t="s">
        <v>172</v>
      </c>
      <c r="P54" s="263" t="s">
        <v>840</v>
      </c>
      <c r="Q54" s="272">
        <v>42747</v>
      </c>
      <c r="R54" s="272">
        <v>43313</v>
      </c>
      <c r="S54" s="273">
        <v>17</v>
      </c>
      <c r="T54" s="240" t="s">
        <v>841</v>
      </c>
      <c r="U54" s="257">
        <v>1</v>
      </c>
      <c r="V54" s="272">
        <v>43434</v>
      </c>
      <c r="W54" s="269" t="s">
        <v>2425</v>
      </c>
      <c r="X54" s="272">
        <v>43783</v>
      </c>
      <c r="Y54" s="274">
        <v>43812</v>
      </c>
      <c r="Z54" s="275" t="s">
        <v>2426</v>
      </c>
      <c r="AA54" s="272">
        <v>43865</v>
      </c>
      <c r="AB54" s="263" t="s">
        <v>2394</v>
      </c>
      <c r="AC54" s="272">
        <v>43873</v>
      </c>
      <c r="AD54" s="272">
        <v>43917</v>
      </c>
      <c r="AE54" s="243">
        <f t="shared" ref="AE54" si="7">AC54-AA54</f>
        <v>8</v>
      </c>
      <c r="AF54" s="243">
        <f t="shared" ref="AF54" si="8">AD54-AC54</f>
        <v>44</v>
      </c>
      <c r="AG54" s="235" t="s">
        <v>845</v>
      </c>
      <c r="AH54" s="248"/>
      <c r="AI54" s="248"/>
      <c r="AJ54" s="248"/>
      <c r="AK54" s="248"/>
      <c r="AL54" s="276" t="s">
        <v>2313</v>
      </c>
      <c r="AM54" s="276" t="s">
        <v>2313</v>
      </c>
      <c r="AN54" s="276" t="s">
        <v>2313</v>
      </c>
      <c r="AO54" s="276" t="s">
        <v>2313</v>
      </c>
      <c r="AP54" s="276" t="s">
        <v>2313</v>
      </c>
      <c r="AQ54" s="276">
        <v>5572</v>
      </c>
      <c r="AR54" s="507">
        <v>13293</v>
      </c>
      <c r="AS54" s="507">
        <v>13293</v>
      </c>
      <c r="AT54" s="507">
        <v>13293</v>
      </c>
      <c r="AU54" s="507">
        <v>13293</v>
      </c>
      <c r="AV54" s="507">
        <v>13293</v>
      </c>
      <c r="AW54" s="507">
        <v>13293</v>
      </c>
      <c r="AX54" s="507">
        <v>13293</v>
      </c>
      <c r="AY54" s="507">
        <v>13293</v>
      </c>
      <c r="AZ54" s="507">
        <v>13293</v>
      </c>
      <c r="BA54" s="507">
        <v>13293</v>
      </c>
      <c r="BB54" s="507">
        <v>13293</v>
      </c>
      <c r="BC54" s="286">
        <v>13293</v>
      </c>
      <c r="BD54" s="246">
        <f>BE54/COUNT(AL54:BC54)</f>
        <v>12699.076923076924</v>
      </c>
      <c r="BE54" s="247">
        <f>SUM(AL54:BC54)</f>
        <v>165088</v>
      </c>
      <c r="BF54" s="513"/>
      <c r="BG54" s="513"/>
      <c r="BH54" s="519"/>
      <c r="BI54" s="513"/>
      <c r="BJ54" s="519"/>
      <c r="BK54" s="514"/>
      <c r="BL54" s="513"/>
      <c r="BM54" s="513"/>
      <c r="BN54" s="519"/>
      <c r="BO54" s="513"/>
      <c r="BP54" s="519"/>
      <c r="BQ54" s="514"/>
      <c r="BR54" s="267"/>
      <c r="BS54" s="268"/>
    </row>
    <row r="55" spans="1:71" ht="241.5" x14ac:dyDescent="0.4">
      <c r="A55" s="490"/>
      <c r="B55" s="235" t="s">
        <v>638</v>
      </c>
      <c r="C55" s="235" t="s">
        <v>833</v>
      </c>
      <c r="D55" s="235" t="s">
        <v>1022</v>
      </c>
      <c r="E55" s="235" t="s">
        <v>1023</v>
      </c>
      <c r="F55" s="235" t="s">
        <v>1024</v>
      </c>
      <c r="G55" s="235" t="s">
        <v>1025</v>
      </c>
      <c r="H55" s="236" t="s">
        <v>632</v>
      </c>
      <c r="I55" s="235" t="s">
        <v>633</v>
      </c>
      <c r="J55" s="235" t="s">
        <v>1026</v>
      </c>
      <c r="K55" s="236" t="s">
        <v>1027</v>
      </c>
      <c r="L55" s="235" t="s">
        <v>1028</v>
      </c>
      <c r="M55" s="235" t="s">
        <v>631</v>
      </c>
      <c r="N55" s="236" t="s">
        <v>636</v>
      </c>
      <c r="O55" s="235" t="s">
        <v>172</v>
      </c>
      <c r="P55" s="235" t="s">
        <v>840</v>
      </c>
      <c r="Q55" s="238">
        <v>2013</v>
      </c>
      <c r="R55" s="239">
        <v>42217</v>
      </c>
      <c r="S55" s="238">
        <v>10</v>
      </c>
      <c r="T55" s="240" t="s">
        <v>841</v>
      </c>
      <c r="U55" s="238">
        <v>8</v>
      </c>
      <c r="V55" s="239" t="s">
        <v>1029</v>
      </c>
      <c r="W55" s="241" t="s">
        <v>1030</v>
      </c>
      <c r="X55" s="239">
        <v>42167</v>
      </c>
      <c r="Y55" s="239">
        <v>42196</v>
      </c>
      <c r="Z55" s="242" t="s">
        <v>152</v>
      </c>
      <c r="AA55" s="239">
        <v>42207</v>
      </c>
      <c r="AB55" s="235" t="s">
        <v>1031</v>
      </c>
      <c r="AC55" s="239">
        <v>42214</v>
      </c>
      <c r="AD55" s="239">
        <v>42220</v>
      </c>
      <c r="AE55" s="243">
        <f t="shared" si="3"/>
        <v>7</v>
      </c>
      <c r="AF55" s="243">
        <f t="shared" si="6"/>
        <v>6</v>
      </c>
      <c r="AG55" s="235" t="s">
        <v>845</v>
      </c>
      <c r="AH55" s="244"/>
      <c r="AI55" s="244"/>
      <c r="AJ55" s="287"/>
      <c r="AK55" s="287"/>
      <c r="AL55" s="276" t="s">
        <v>2314</v>
      </c>
      <c r="AM55" s="276" t="s">
        <v>2314</v>
      </c>
      <c r="AN55" s="276">
        <v>134</v>
      </c>
      <c r="AO55" s="276">
        <v>324</v>
      </c>
      <c r="AP55" s="276">
        <v>324</v>
      </c>
      <c r="AQ55" s="276">
        <v>324</v>
      </c>
      <c r="AR55" s="276">
        <v>324</v>
      </c>
      <c r="AS55" s="276">
        <v>324</v>
      </c>
      <c r="AT55" s="276"/>
      <c r="AU55" s="276"/>
      <c r="AV55" s="276"/>
      <c r="AW55" s="276"/>
      <c r="AX55" s="276"/>
      <c r="AY55" s="276"/>
      <c r="AZ55" s="276"/>
      <c r="BA55" s="276"/>
      <c r="BB55" s="276"/>
      <c r="BC55" s="245"/>
      <c r="BD55" s="246">
        <f t="shared" si="1"/>
        <v>292.33333333333331</v>
      </c>
      <c r="BE55" s="247">
        <f t="shared" si="2"/>
        <v>1754</v>
      </c>
      <c r="BF55" s="513">
        <v>43018</v>
      </c>
      <c r="BG55" s="513">
        <v>43290</v>
      </c>
      <c r="BH55" s="519">
        <v>58</v>
      </c>
      <c r="BI55" s="513">
        <v>43018</v>
      </c>
      <c r="BJ55" s="519">
        <v>230</v>
      </c>
      <c r="BK55" s="514" t="s">
        <v>2274</v>
      </c>
      <c r="BL55" s="513"/>
      <c r="BM55" s="513"/>
      <c r="BN55" s="519"/>
      <c r="BO55" s="513"/>
      <c r="BP55" s="519"/>
      <c r="BQ55" s="514"/>
      <c r="BR55" s="249">
        <v>42975</v>
      </c>
      <c r="BS55" s="259" t="s">
        <v>1032</v>
      </c>
    </row>
    <row r="56" spans="1:71" ht="172.5" x14ac:dyDescent="0.4">
      <c r="A56" s="491"/>
      <c r="B56" s="263" t="s">
        <v>651</v>
      </c>
      <c r="C56" s="235" t="s">
        <v>833</v>
      </c>
      <c r="D56" s="263" t="s">
        <v>1033</v>
      </c>
      <c r="E56" s="235" t="s">
        <v>1023</v>
      </c>
      <c r="F56" s="263" t="s">
        <v>1034</v>
      </c>
      <c r="G56" s="263" t="s">
        <v>1035</v>
      </c>
      <c r="H56" s="375" t="s">
        <v>404</v>
      </c>
      <c r="I56" s="263" t="s">
        <v>270</v>
      </c>
      <c r="J56" s="263" t="s">
        <v>1036</v>
      </c>
      <c r="K56" s="236" t="s">
        <v>1037</v>
      </c>
      <c r="L56" s="263" t="s">
        <v>1038</v>
      </c>
      <c r="M56" s="263" t="s">
        <v>146</v>
      </c>
      <c r="N56" s="236" t="s">
        <v>877</v>
      </c>
      <c r="O56" s="263" t="s">
        <v>153</v>
      </c>
      <c r="P56" s="263" t="s">
        <v>902</v>
      </c>
      <c r="Q56" s="240">
        <v>2013</v>
      </c>
      <c r="R56" s="272">
        <v>42222</v>
      </c>
      <c r="S56" s="240">
        <v>10</v>
      </c>
      <c r="T56" s="240" t="s">
        <v>841</v>
      </c>
      <c r="U56" s="288">
        <v>1</v>
      </c>
      <c r="V56" s="272">
        <v>41899</v>
      </c>
      <c r="W56" s="241" t="s">
        <v>1030</v>
      </c>
      <c r="X56" s="272">
        <v>42209</v>
      </c>
      <c r="Y56" s="272">
        <v>42238</v>
      </c>
      <c r="Z56" s="275" t="s">
        <v>152</v>
      </c>
      <c r="AA56" s="289">
        <v>42247</v>
      </c>
      <c r="AB56" s="263" t="s">
        <v>1031</v>
      </c>
      <c r="AC56" s="255">
        <v>42249</v>
      </c>
      <c r="AD56" s="255">
        <v>42338</v>
      </c>
      <c r="AE56" s="279">
        <f t="shared" si="3"/>
        <v>2</v>
      </c>
      <c r="AF56" s="257">
        <f t="shared" si="6"/>
        <v>89</v>
      </c>
      <c r="AG56" s="263" t="s">
        <v>845</v>
      </c>
      <c r="AH56" s="257"/>
      <c r="AI56" s="257"/>
      <c r="AJ56" s="257"/>
      <c r="AK56" s="257"/>
      <c r="AL56" s="276" t="s">
        <v>2314</v>
      </c>
      <c r="AM56" s="276" t="s">
        <v>2314</v>
      </c>
      <c r="AN56" s="276">
        <v>223</v>
      </c>
      <c r="AO56" s="276">
        <v>574</v>
      </c>
      <c r="AP56" s="276">
        <v>574</v>
      </c>
      <c r="AQ56" s="276">
        <v>574</v>
      </c>
      <c r="AR56" s="276">
        <v>574</v>
      </c>
      <c r="AS56" s="276">
        <v>574</v>
      </c>
      <c r="AT56" s="276"/>
      <c r="AU56" s="276"/>
      <c r="AV56" s="276"/>
      <c r="AW56" s="276"/>
      <c r="AX56" s="276"/>
      <c r="AY56" s="276"/>
      <c r="AZ56" s="276"/>
      <c r="BA56" s="276"/>
      <c r="BB56" s="276"/>
      <c r="BC56" s="276"/>
      <c r="BD56" s="246">
        <f t="shared" si="1"/>
        <v>515.5</v>
      </c>
      <c r="BE56" s="246">
        <f t="shared" si="2"/>
        <v>3093</v>
      </c>
      <c r="BF56" s="513">
        <v>43327</v>
      </c>
      <c r="BG56" s="513">
        <v>43327</v>
      </c>
      <c r="BH56" s="519">
        <v>193</v>
      </c>
      <c r="BI56" s="513">
        <v>43328</v>
      </c>
      <c r="BJ56" s="519">
        <v>685</v>
      </c>
      <c r="BK56" s="514" t="s">
        <v>2275</v>
      </c>
      <c r="BL56" s="513"/>
      <c r="BM56" s="513"/>
      <c r="BN56" s="519"/>
      <c r="BO56" s="513"/>
      <c r="BP56" s="519"/>
      <c r="BQ56" s="514"/>
      <c r="BR56" s="290">
        <v>42795</v>
      </c>
      <c r="BS56" s="259" t="s">
        <v>1032</v>
      </c>
    </row>
    <row r="57" spans="1:71" ht="224.25" x14ac:dyDescent="0.4">
      <c r="A57" s="492"/>
      <c r="B57" s="263" t="s">
        <v>667</v>
      </c>
      <c r="C57" s="235" t="s">
        <v>833</v>
      </c>
      <c r="D57" s="263" t="s">
        <v>1039</v>
      </c>
      <c r="E57" s="235" t="s">
        <v>1023</v>
      </c>
      <c r="F57" s="263" t="s">
        <v>1040</v>
      </c>
      <c r="G57" s="263" t="s">
        <v>1041</v>
      </c>
      <c r="H57" s="375" t="s">
        <v>404</v>
      </c>
      <c r="I57" s="263" t="s">
        <v>270</v>
      </c>
      <c r="J57" s="263" t="s">
        <v>1042</v>
      </c>
      <c r="K57" s="236" t="s">
        <v>1043</v>
      </c>
      <c r="L57" s="263" t="s">
        <v>1044</v>
      </c>
      <c r="M57" s="263" t="s">
        <v>146</v>
      </c>
      <c r="N57" s="263" t="s">
        <v>1045</v>
      </c>
      <c r="O57" s="263" t="s">
        <v>337</v>
      </c>
      <c r="P57" s="263" t="s">
        <v>902</v>
      </c>
      <c r="Q57" s="273">
        <v>2013</v>
      </c>
      <c r="R57" s="272">
        <v>42461</v>
      </c>
      <c r="S57" s="273">
        <v>10</v>
      </c>
      <c r="T57" s="240" t="s">
        <v>841</v>
      </c>
      <c r="U57" s="291">
        <v>1</v>
      </c>
      <c r="V57" s="272">
        <v>41899</v>
      </c>
      <c r="W57" s="241" t="s">
        <v>1030</v>
      </c>
      <c r="X57" s="272">
        <v>42343</v>
      </c>
      <c r="Y57" s="274">
        <v>42372</v>
      </c>
      <c r="Z57" s="275" t="s">
        <v>152</v>
      </c>
      <c r="AA57" s="272">
        <v>42425</v>
      </c>
      <c r="AB57" s="292" t="s">
        <v>1046</v>
      </c>
      <c r="AC57" s="274">
        <v>42425</v>
      </c>
      <c r="AD57" s="272">
        <v>42505</v>
      </c>
      <c r="AE57" s="264">
        <f t="shared" si="3"/>
        <v>0</v>
      </c>
      <c r="AF57" s="257">
        <f t="shared" si="6"/>
        <v>80</v>
      </c>
      <c r="AG57" s="263" t="s">
        <v>845</v>
      </c>
      <c r="AH57" s="237"/>
      <c r="AI57" s="237"/>
      <c r="AJ57" s="237"/>
      <c r="AK57" s="237"/>
      <c r="AL57" s="276" t="s">
        <v>2314</v>
      </c>
      <c r="AM57" s="276" t="s">
        <v>2314</v>
      </c>
      <c r="AN57" s="276" t="s">
        <v>2314</v>
      </c>
      <c r="AO57" s="280">
        <v>207</v>
      </c>
      <c r="AP57" s="280">
        <v>289</v>
      </c>
      <c r="AQ57" s="280">
        <v>289</v>
      </c>
      <c r="AR57" s="280">
        <v>289</v>
      </c>
      <c r="AS57" s="280">
        <v>289</v>
      </c>
      <c r="AT57" s="280"/>
      <c r="AU57" s="280"/>
      <c r="AV57" s="280"/>
      <c r="AW57" s="280"/>
      <c r="AX57" s="280"/>
      <c r="AY57" s="280"/>
      <c r="AZ57" s="280"/>
      <c r="BA57" s="280"/>
      <c r="BB57" s="280"/>
      <c r="BC57" s="280"/>
      <c r="BD57" s="246">
        <f t="shared" si="1"/>
        <v>272.60000000000002</v>
      </c>
      <c r="BE57" s="246">
        <f t="shared" si="2"/>
        <v>1363</v>
      </c>
      <c r="BF57" s="513">
        <v>43327</v>
      </c>
      <c r="BG57" s="513">
        <v>43327</v>
      </c>
      <c r="BH57" s="519">
        <v>80</v>
      </c>
      <c r="BI57" s="513">
        <v>43328</v>
      </c>
      <c r="BJ57" s="519">
        <v>181</v>
      </c>
      <c r="BK57" s="514" t="s">
        <v>2276</v>
      </c>
      <c r="BL57" s="513"/>
      <c r="BM57" s="513"/>
      <c r="BN57" s="519"/>
      <c r="BO57" s="513"/>
      <c r="BP57" s="519"/>
      <c r="BQ57" s="514"/>
      <c r="BR57" s="293">
        <v>42992</v>
      </c>
      <c r="BS57" s="294" t="s">
        <v>1046</v>
      </c>
    </row>
    <row r="58" spans="1:71" ht="409.5" x14ac:dyDescent="0.4">
      <c r="A58" s="490"/>
      <c r="B58" s="260" t="s">
        <v>1047</v>
      </c>
      <c r="C58" s="235" t="s">
        <v>833</v>
      </c>
      <c r="D58" s="260" t="s">
        <v>1048</v>
      </c>
      <c r="E58" s="235" t="s">
        <v>1023</v>
      </c>
      <c r="F58" s="260" t="s">
        <v>1049</v>
      </c>
      <c r="G58" s="260" t="s">
        <v>1050</v>
      </c>
      <c r="H58" s="375" t="s">
        <v>404</v>
      </c>
      <c r="I58" s="260" t="s">
        <v>1051</v>
      </c>
      <c r="J58" s="260" t="s">
        <v>2088</v>
      </c>
      <c r="K58" s="236" t="s">
        <v>1052</v>
      </c>
      <c r="L58" s="260" t="s">
        <v>1053</v>
      </c>
      <c r="M58" s="260" t="s">
        <v>510</v>
      </c>
      <c r="N58" s="236" t="s">
        <v>1054</v>
      </c>
      <c r="O58" s="260" t="s">
        <v>153</v>
      </c>
      <c r="P58" s="260" t="s">
        <v>840</v>
      </c>
      <c r="Q58" s="253">
        <v>42381</v>
      </c>
      <c r="R58" s="253">
        <v>42370</v>
      </c>
      <c r="S58" s="261">
        <v>18</v>
      </c>
      <c r="T58" s="240" t="s">
        <v>841</v>
      </c>
      <c r="U58" s="285">
        <v>2</v>
      </c>
      <c r="V58" s="239" t="s">
        <v>1055</v>
      </c>
      <c r="W58" s="241" t="s">
        <v>1056</v>
      </c>
      <c r="X58" s="253">
        <v>42419</v>
      </c>
      <c r="Y58" s="270">
        <v>42448</v>
      </c>
      <c r="Z58" s="262">
        <v>1</v>
      </c>
      <c r="AA58" s="253">
        <v>42451</v>
      </c>
      <c r="AB58" s="295" t="s">
        <v>1057</v>
      </c>
      <c r="AC58" s="253">
        <v>42451</v>
      </c>
      <c r="AD58" s="253">
        <v>42505</v>
      </c>
      <c r="AE58" s="264">
        <f t="shared" si="3"/>
        <v>0</v>
      </c>
      <c r="AF58" s="257">
        <f t="shared" si="6"/>
        <v>54</v>
      </c>
      <c r="AG58" s="235" t="s">
        <v>845</v>
      </c>
      <c r="AH58" s="248"/>
      <c r="AI58" s="248"/>
      <c r="AJ58" s="248"/>
      <c r="AK58" s="248"/>
      <c r="AL58" s="276" t="s">
        <v>2314</v>
      </c>
      <c r="AM58" s="276" t="s">
        <v>2314</v>
      </c>
      <c r="AN58" s="276" t="s">
        <v>2314</v>
      </c>
      <c r="AO58" s="280">
        <v>610</v>
      </c>
      <c r="AP58" s="280">
        <v>610</v>
      </c>
      <c r="AQ58" s="280">
        <v>610</v>
      </c>
      <c r="AR58" s="280">
        <v>610</v>
      </c>
      <c r="AS58" s="280">
        <v>610</v>
      </c>
      <c r="AT58" s="280"/>
      <c r="AU58" s="280"/>
      <c r="AV58" s="280"/>
      <c r="AW58" s="280"/>
      <c r="AX58" s="280"/>
      <c r="AY58" s="280"/>
      <c r="AZ58" s="280"/>
      <c r="BA58" s="280"/>
      <c r="BB58" s="280"/>
      <c r="BC58" s="266"/>
      <c r="BD58" s="246">
        <f t="shared" si="1"/>
        <v>610</v>
      </c>
      <c r="BE58" s="247">
        <f t="shared" si="2"/>
        <v>3050</v>
      </c>
      <c r="BF58" s="513">
        <v>43018</v>
      </c>
      <c r="BG58" s="513">
        <v>43290</v>
      </c>
      <c r="BH58" s="519">
        <v>75</v>
      </c>
      <c r="BI58" s="513">
        <v>43018</v>
      </c>
      <c r="BJ58" s="519">
        <v>76</v>
      </c>
      <c r="BK58" s="514" t="s">
        <v>2277</v>
      </c>
      <c r="BL58" s="513"/>
      <c r="BM58" s="513"/>
      <c r="BN58" s="519"/>
      <c r="BO58" s="513"/>
      <c r="BP58" s="519"/>
      <c r="BQ58" s="514"/>
      <c r="BR58" s="249">
        <v>42802</v>
      </c>
      <c r="BS58" s="259" t="s">
        <v>1032</v>
      </c>
    </row>
    <row r="59" spans="1:71" ht="86.25" x14ac:dyDescent="0.4">
      <c r="A59" s="490"/>
      <c r="B59" s="260" t="s">
        <v>1058</v>
      </c>
      <c r="C59" s="235" t="s">
        <v>833</v>
      </c>
      <c r="D59" s="260" t="s">
        <v>1059</v>
      </c>
      <c r="E59" s="235" t="s">
        <v>1023</v>
      </c>
      <c r="F59" s="260" t="s">
        <v>1060</v>
      </c>
      <c r="G59" s="260" t="s">
        <v>1061</v>
      </c>
      <c r="H59" s="375" t="s">
        <v>404</v>
      </c>
      <c r="I59" s="260" t="s">
        <v>270</v>
      </c>
      <c r="J59" s="260" t="s">
        <v>1062</v>
      </c>
      <c r="K59" s="260" t="s">
        <v>1063</v>
      </c>
      <c r="L59" s="260" t="s">
        <v>1064</v>
      </c>
      <c r="M59" s="260" t="s">
        <v>146</v>
      </c>
      <c r="N59" s="236" t="s">
        <v>877</v>
      </c>
      <c r="O59" s="235" t="s">
        <v>2089</v>
      </c>
      <c r="P59" s="260" t="s">
        <v>840</v>
      </c>
      <c r="Q59" s="253">
        <v>42185</v>
      </c>
      <c r="R59" s="253">
        <v>42649</v>
      </c>
      <c r="S59" s="261">
        <v>10</v>
      </c>
      <c r="T59" s="240" t="s">
        <v>841</v>
      </c>
      <c r="U59" s="285">
        <v>1</v>
      </c>
      <c r="V59" s="239">
        <v>42699</v>
      </c>
      <c r="W59" s="241" t="s">
        <v>2090</v>
      </c>
      <c r="X59" s="253">
        <v>42784</v>
      </c>
      <c r="Y59" s="270">
        <v>42813</v>
      </c>
      <c r="Z59" s="262">
        <v>1</v>
      </c>
      <c r="AA59" s="253">
        <v>42818</v>
      </c>
      <c r="AB59" s="295" t="s">
        <v>1065</v>
      </c>
      <c r="AC59" s="253">
        <v>42822</v>
      </c>
      <c r="AD59" s="253">
        <v>43018</v>
      </c>
      <c r="AE59" s="264">
        <f t="shared" si="3"/>
        <v>4</v>
      </c>
      <c r="AF59" s="257">
        <f t="shared" si="6"/>
        <v>196</v>
      </c>
      <c r="AG59" s="235" t="s">
        <v>845</v>
      </c>
      <c r="AH59" s="248"/>
      <c r="AI59" s="248"/>
      <c r="AJ59" s="248"/>
      <c r="AK59" s="248"/>
      <c r="AL59" s="276" t="s">
        <v>2314</v>
      </c>
      <c r="AM59" s="276" t="s">
        <v>2314</v>
      </c>
      <c r="AN59" s="276" t="s">
        <v>2314</v>
      </c>
      <c r="AO59" s="280">
        <v>222</v>
      </c>
      <c r="AP59" s="280">
        <v>935</v>
      </c>
      <c r="AQ59" s="280">
        <v>935</v>
      </c>
      <c r="AR59" s="280">
        <v>935</v>
      </c>
      <c r="AS59" s="280">
        <v>935</v>
      </c>
      <c r="AT59" s="280"/>
      <c r="AU59" s="280"/>
      <c r="AV59" s="280"/>
      <c r="AW59" s="280"/>
      <c r="AX59" s="280"/>
      <c r="AY59" s="280"/>
      <c r="AZ59" s="280"/>
      <c r="BA59" s="280"/>
      <c r="BB59" s="280"/>
      <c r="BC59" s="266"/>
      <c r="BD59" s="246">
        <f t="shared" si="1"/>
        <v>792.4</v>
      </c>
      <c r="BE59" s="247">
        <f t="shared" si="2"/>
        <v>3962</v>
      </c>
      <c r="BF59" s="513">
        <v>43613</v>
      </c>
      <c r="BG59" s="513">
        <v>43613</v>
      </c>
      <c r="BH59" s="519">
        <v>56</v>
      </c>
      <c r="BI59" s="513">
        <v>43613</v>
      </c>
      <c r="BJ59" s="519">
        <v>133</v>
      </c>
      <c r="BK59" s="514" t="s">
        <v>2278</v>
      </c>
      <c r="BL59" s="513"/>
      <c r="BM59" s="513"/>
      <c r="BN59" s="519"/>
      <c r="BO59" s="513"/>
      <c r="BP59" s="519"/>
      <c r="BQ59" s="514"/>
      <c r="BR59" s="267"/>
      <c r="BS59" s="268"/>
    </row>
    <row r="60" spans="1:71" ht="86.25" x14ac:dyDescent="0.4">
      <c r="A60" s="492"/>
      <c r="B60" s="263" t="s">
        <v>1066</v>
      </c>
      <c r="C60" s="235" t="s">
        <v>833</v>
      </c>
      <c r="D60" s="263" t="s">
        <v>1067</v>
      </c>
      <c r="E60" s="235" t="s">
        <v>1023</v>
      </c>
      <c r="F60" s="263" t="s">
        <v>1068</v>
      </c>
      <c r="G60" s="263" t="s">
        <v>711</v>
      </c>
      <c r="H60" s="375" t="s">
        <v>404</v>
      </c>
      <c r="I60" s="263" t="s">
        <v>270</v>
      </c>
      <c r="J60" s="263" t="s">
        <v>1069</v>
      </c>
      <c r="K60" s="263" t="s">
        <v>1070</v>
      </c>
      <c r="L60" s="263" t="s">
        <v>1071</v>
      </c>
      <c r="M60" s="263" t="s">
        <v>146</v>
      </c>
      <c r="N60" s="236" t="s">
        <v>285</v>
      </c>
      <c r="O60" s="263" t="s">
        <v>337</v>
      </c>
      <c r="P60" s="263" t="s">
        <v>902</v>
      </c>
      <c r="Q60" s="296">
        <v>2014</v>
      </c>
      <c r="R60" s="272">
        <v>42818</v>
      </c>
      <c r="S60" s="273">
        <v>8</v>
      </c>
      <c r="T60" s="240" t="s">
        <v>841</v>
      </c>
      <c r="U60" s="257">
        <v>3</v>
      </c>
      <c r="V60" s="272">
        <v>42908</v>
      </c>
      <c r="W60" s="241" t="s">
        <v>843</v>
      </c>
      <c r="X60" s="272">
        <v>43057</v>
      </c>
      <c r="Y60" s="274">
        <v>43086</v>
      </c>
      <c r="Z60" s="275" t="s">
        <v>152</v>
      </c>
      <c r="AA60" s="272">
        <v>43111</v>
      </c>
      <c r="AB60" s="292" t="s">
        <v>1065</v>
      </c>
      <c r="AC60" s="272">
        <v>43111</v>
      </c>
      <c r="AD60" s="272">
        <v>43327</v>
      </c>
      <c r="AE60" s="264">
        <f t="shared" si="3"/>
        <v>0</v>
      </c>
      <c r="AF60" s="257">
        <f t="shared" si="6"/>
        <v>216</v>
      </c>
      <c r="AG60" s="263" t="s">
        <v>845</v>
      </c>
      <c r="AH60" s="237"/>
      <c r="AI60" s="237"/>
      <c r="AJ60" s="237"/>
      <c r="AK60" s="237"/>
      <c r="AL60" s="276" t="s">
        <v>2314</v>
      </c>
      <c r="AM60" s="276" t="s">
        <v>2314</v>
      </c>
      <c r="AN60" s="276" t="s">
        <v>2314</v>
      </c>
      <c r="AO60" s="276" t="s">
        <v>2314</v>
      </c>
      <c r="AP60" s="280">
        <v>658</v>
      </c>
      <c r="AQ60" s="280">
        <v>878</v>
      </c>
      <c r="AR60" s="280">
        <v>878</v>
      </c>
      <c r="AS60" s="280">
        <v>878</v>
      </c>
      <c r="AT60" s="280"/>
      <c r="AU60" s="280"/>
      <c r="AV60" s="280"/>
      <c r="AW60" s="280"/>
      <c r="AX60" s="280"/>
      <c r="AY60" s="280"/>
      <c r="AZ60" s="280"/>
      <c r="BA60" s="280"/>
      <c r="BB60" s="280"/>
      <c r="BC60" s="280"/>
      <c r="BD60" s="246">
        <f t="shared" si="1"/>
        <v>823</v>
      </c>
      <c r="BE60" s="246">
        <f t="shared" si="2"/>
        <v>3292</v>
      </c>
      <c r="BF60" s="513">
        <v>43665</v>
      </c>
      <c r="BG60" s="513">
        <v>43665</v>
      </c>
      <c r="BH60" s="519">
        <v>15</v>
      </c>
      <c r="BI60" s="513">
        <v>43669</v>
      </c>
      <c r="BJ60" s="519">
        <v>128</v>
      </c>
      <c r="BK60" s="514" t="s">
        <v>2279</v>
      </c>
      <c r="BL60" s="513"/>
      <c r="BM60" s="513"/>
      <c r="BN60" s="519"/>
      <c r="BO60" s="513"/>
      <c r="BP60" s="519"/>
      <c r="BQ60" s="514"/>
      <c r="BR60" s="277"/>
      <c r="BS60" s="278"/>
    </row>
    <row r="61" spans="1:71" ht="138" x14ac:dyDescent="0.4">
      <c r="A61" s="492"/>
      <c r="B61" s="263" t="s">
        <v>2091</v>
      </c>
      <c r="C61" s="263" t="s">
        <v>2311</v>
      </c>
      <c r="D61" s="263" t="s">
        <v>2092</v>
      </c>
      <c r="E61" s="235" t="s">
        <v>1023</v>
      </c>
      <c r="F61" s="263" t="s">
        <v>2093</v>
      </c>
      <c r="G61" s="263" t="s">
        <v>2094</v>
      </c>
      <c r="H61" s="236" t="s">
        <v>167</v>
      </c>
      <c r="I61" s="263" t="s">
        <v>414</v>
      </c>
      <c r="J61" s="263" t="s">
        <v>2095</v>
      </c>
      <c r="K61" s="263" t="s">
        <v>2096</v>
      </c>
      <c r="L61" s="263" t="s">
        <v>2097</v>
      </c>
      <c r="M61" s="263" t="s">
        <v>189</v>
      </c>
      <c r="N61" s="236" t="s">
        <v>185</v>
      </c>
      <c r="O61" s="263" t="s">
        <v>172</v>
      </c>
      <c r="P61" s="263" t="s">
        <v>840</v>
      </c>
      <c r="Q61" s="272">
        <v>42381</v>
      </c>
      <c r="R61" s="272">
        <v>42552</v>
      </c>
      <c r="S61" s="273">
        <v>9</v>
      </c>
      <c r="T61" s="240" t="s">
        <v>841</v>
      </c>
      <c r="U61" s="257">
        <v>1</v>
      </c>
      <c r="V61" s="272">
        <v>42983</v>
      </c>
      <c r="W61" s="241" t="s">
        <v>843</v>
      </c>
      <c r="X61" s="272">
        <v>43077</v>
      </c>
      <c r="Y61" s="274">
        <v>43106</v>
      </c>
      <c r="Z61" s="275" t="s">
        <v>152</v>
      </c>
      <c r="AA61" s="272">
        <v>43152</v>
      </c>
      <c r="AB61" s="292" t="s">
        <v>1065</v>
      </c>
      <c r="AC61" s="272">
        <v>43437</v>
      </c>
      <c r="AD61" s="272">
        <v>43327</v>
      </c>
      <c r="AE61" s="264">
        <f t="shared" si="3"/>
        <v>285</v>
      </c>
      <c r="AF61" s="257">
        <f t="shared" si="6"/>
        <v>-110</v>
      </c>
      <c r="AG61" s="263" t="s">
        <v>845</v>
      </c>
      <c r="AH61" s="237"/>
      <c r="AI61" s="237"/>
      <c r="AJ61" s="237"/>
      <c r="AK61" s="237"/>
      <c r="AL61" s="276" t="s">
        <v>2314</v>
      </c>
      <c r="AM61" s="276" t="s">
        <v>2314</v>
      </c>
      <c r="AN61" s="276" t="s">
        <v>2314</v>
      </c>
      <c r="AO61" s="280">
        <v>62</v>
      </c>
      <c r="AP61" s="280">
        <v>125</v>
      </c>
      <c r="AQ61" s="280">
        <v>125</v>
      </c>
      <c r="AR61" s="280">
        <v>125</v>
      </c>
      <c r="AS61" s="280">
        <v>125</v>
      </c>
      <c r="AT61" s="280"/>
      <c r="AU61" s="280"/>
      <c r="AV61" s="280"/>
      <c r="AW61" s="280"/>
      <c r="AX61" s="280"/>
      <c r="AY61" s="280"/>
      <c r="AZ61" s="280"/>
      <c r="BA61" s="280"/>
      <c r="BB61" s="280"/>
      <c r="BC61" s="280"/>
      <c r="BD61" s="246">
        <f t="shared" si="1"/>
        <v>112.4</v>
      </c>
      <c r="BE61" s="246">
        <f t="shared" si="2"/>
        <v>562</v>
      </c>
      <c r="BF61" s="513"/>
      <c r="BG61" s="513"/>
      <c r="BH61" s="519"/>
      <c r="BI61" s="513"/>
      <c r="BJ61" s="519"/>
      <c r="BK61" s="514"/>
      <c r="BL61" s="513"/>
      <c r="BM61" s="513"/>
      <c r="BN61" s="519"/>
      <c r="BO61" s="513"/>
      <c r="BP61" s="519"/>
      <c r="BQ61" s="514"/>
      <c r="BR61" s="277"/>
      <c r="BS61" s="278"/>
    </row>
    <row r="62" spans="1:71" ht="189.75" x14ac:dyDescent="0.4">
      <c r="A62" s="492" t="s">
        <v>1072</v>
      </c>
      <c r="B62" s="263" t="s">
        <v>1072</v>
      </c>
      <c r="C62" s="235" t="s">
        <v>833</v>
      </c>
      <c r="D62" s="263" t="s">
        <v>1073</v>
      </c>
      <c r="E62" s="235" t="s">
        <v>1023</v>
      </c>
      <c r="F62" s="263" t="s">
        <v>1074</v>
      </c>
      <c r="G62" s="263" t="s">
        <v>1050</v>
      </c>
      <c r="H62" s="375" t="s">
        <v>404</v>
      </c>
      <c r="I62" s="263" t="s">
        <v>1051</v>
      </c>
      <c r="J62" s="263" t="s">
        <v>1075</v>
      </c>
      <c r="K62" s="263" t="s">
        <v>1075</v>
      </c>
      <c r="L62" s="263" t="s">
        <v>1076</v>
      </c>
      <c r="M62" s="263" t="s">
        <v>510</v>
      </c>
      <c r="N62" s="236" t="s">
        <v>1054</v>
      </c>
      <c r="O62" s="263" t="s">
        <v>153</v>
      </c>
      <c r="P62" s="263" t="s">
        <v>840</v>
      </c>
      <c r="Q62" s="272">
        <v>42912</v>
      </c>
      <c r="R62" s="272">
        <v>42868</v>
      </c>
      <c r="S62" s="273">
        <v>18</v>
      </c>
      <c r="T62" s="240" t="s">
        <v>841</v>
      </c>
      <c r="U62" s="257">
        <v>2</v>
      </c>
      <c r="V62" s="272">
        <v>42950</v>
      </c>
      <c r="W62" s="241" t="s">
        <v>843</v>
      </c>
      <c r="X62" s="272">
        <v>43077</v>
      </c>
      <c r="Y62" s="274">
        <v>43106</v>
      </c>
      <c r="Z62" s="275" t="s">
        <v>152</v>
      </c>
      <c r="AA62" s="272">
        <v>43172</v>
      </c>
      <c r="AB62" s="292" t="s">
        <v>1077</v>
      </c>
      <c r="AC62" s="272">
        <v>43173</v>
      </c>
      <c r="AD62" s="272">
        <v>43327</v>
      </c>
      <c r="AE62" s="264">
        <f t="shared" si="3"/>
        <v>1</v>
      </c>
      <c r="AF62" s="257">
        <f t="shared" si="6"/>
        <v>154</v>
      </c>
      <c r="AG62" s="263" t="s">
        <v>845</v>
      </c>
      <c r="AH62" s="237"/>
      <c r="AI62" s="237"/>
      <c r="AJ62" s="237"/>
      <c r="AK62" s="237"/>
      <c r="AL62" s="276" t="s">
        <v>2314</v>
      </c>
      <c r="AM62" s="276" t="s">
        <v>2314</v>
      </c>
      <c r="AN62" s="276" t="s">
        <v>2314</v>
      </c>
      <c r="AO62" s="276" t="s">
        <v>2314</v>
      </c>
      <c r="AP62" s="280">
        <v>2480</v>
      </c>
      <c r="AQ62" s="280">
        <v>3885</v>
      </c>
      <c r="AR62" s="280">
        <v>3885</v>
      </c>
      <c r="AS62" s="280">
        <v>3885</v>
      </c>
      <c r="AT62" s="280"/>
      <c r="AU62" s="280"/>
      <c r="AV62" s="280"/>
      <c r="AW62" s="280"/>
      <c r="AX62" s="280"/>
      <c r="AY62" s="280"/>
      <c r="AZ62" s="280"/>
      <c r="BA62" s="280"/>
      <c r="BB62" s="280"/>
      <c r="BC62" s="280"/>
      <c r="BD62" s="246">
        <f t="shared" si="1"/>
        <v>3533.75</v>
      </c>
      <c r="BE62" s="246">
        <f t="shared" si="2"/>
        <v>14135</v>
      </c>
      <c r="BF62" s="513">
        <v>43749</v>
      </c>
      <c r="BG62" s="513"/>
      <c r="BH62" s="519">
        <v>1238</v>
      </c>
      <c r="BI62" s="513">
        <v>43753</v>
      </c>
      <c r="BJ62" s="519">
        <v>1239</v>
      </c>
      <c r="BK62" s="514" t="s">
        <v>2280</v>
      </c>
      <c r="BL62" s="513"/>
      <c r="BM62" s="513"/>
      <c r="BN62" s="519"/>
      <c r="BO62" s="513"/>
      <c r="BP62" s="519"/>
      <c r="BQ62" s="514"/>
      <c r="BR62" s="277"/>
      <c r="BS62" s="278"/>
    </row>
    <row r="63" spans="1:71" ht="69" x14ac:dyDescent="0.4">
      <c r="A63" s="492"/>
      <c r="B63" s="263" t="s">
        <v>1078</v>
      </c>
      <c r="C63" s="235" t="s">
        <v>833</v>
      </c>
      <c r="D63" s="263" t="s">
        <v>1079</v>
      </c>
      <c r="E63" s="235" t="s">
        <v>1023</v>
      </c>
      <c r="F63" s="263" t="s">
        <v>1080</v>
      </c>
      <c r="G63" s="263" t="s">
        <v>1081</v>
      </c>
      <c r="H63" s="375" t="s">
        <v>404</v>
      </c>
      <c r="I63" s="263" t="s">
        <v>148</v>
      </c>
      <c r="J63" s="263" t="s">
        <v>1082</v>
      </c>
      <c r="K63" s="263" t="s">
        <v>1083</v>
      </c>
      <c r="L63" s="263" t="s">
        <v>1064</v>
      </c>
      <c r="M63" s="263" t="s">
        <v>146</v>
      </c>
      <c r="N63" s="236" t="s">
        <v>877</v>
      </c>
      <c r="O63" s="263" t="s">
        <v>337</v>
      </c>
      <c r="P63" s="263" t="s">
        <v>840</v>
      </c>
      <c r="Q63" s="272">
        <v>42185</v>
      </c>
      <c r="R63" s="272">
        <v>43075</v>
      </c>
      <c r="S63" s="273">
        <v>9</v>
      </c>
      <c r="T63" s="240" t="s">
        <v>841</v>
      </c>
      <c r="U63" s="257">
        <v>1</v>
      </c>
      <c r="V63" s="272">
        <v>42999</v>
      </c>
      <c r="W63" s="263" t="s">
        <v>2098</v>
      </c>
      <c r="X63" s="272">
        <v>43085</v>
      </c>
      <c r="Y63" s="274">
        <v>43114</v>
      </c>
      <c r="Z63" s="275" t="s">
        <v>152</v>
      </c>
      <c r="AA63" s="272">
        <v>43152</v>
      </c>
      <c r="AB63" s="292" t="s">
        <v>1084</v>
      </c>
      <c r="AC63" s="272">
        <v>43167</v>
      </c>
      <c r="AD63" s="272">
        <v>43327</v>
      </c>
      <c r="AE63" s="264">
        <f t="shared" si="3"/>
        <v>15</v>
      </c>
      <c r="AF63" s="257">
        <f t="shared" si="6"/>
        <v>160</v>
      </c>
      <c r="AG63" s="263" t="s">
        <v>845</v>
      </c>
      <c r="AH63" s="237"/>
      <c r="AI63" s="237"/>
      <c r="AJ63" s="237"/>
      <c r="AK63" s="237"/>
      <c r="AL63" s="276" t="s">
        <v>2314</v>
      </c>
      <c r="AM63" s="276" t="s">
        <v>2314</v>
      </c>
      <c r="AN63" s="276" t="s">
        <v>2314</v>
      </c>
      <c r="AO63" s="276" t="s">
        <v>2314</v>
      </c>
      <c r="AP63" s="280">
        <v>10</v>
      </c>
      <c r="AQ63" s="280">
        <v>147</v>
      </c>
      <c r="AR63" s="280">
        <v>147</v>
      </c>
      <c r="AS63" s="280">
        <v>147</v>
      </c>
      <c r="AT63" s="280"/>
      <c r="AU63" s="280"/>
      <c r="AV63" s="280"/>
      <c r="AW63" s="280"/>
      <c r="AX63" s="280"/>
      <c r="AY63" s="280"/>
      <c r="AZ63" s="280"/>
      <c r="BA63" s="280"/>
      <c r="BB63" s="280"/>
      <c r="BC63" s="280"/>
      <c r="BD63" s="246">
        <f t="shared" si="1"/>
        <v>112.75</v>
      </c>
      <c r="BE63" s="246">
        <f t="shared" si="2"/>
        <v>451</v>
      </c>
      <c r="BF63" s="513">
        <v>43749</v>
      </c>
      <c r="BG63" s="513"/>
      <c r="BH63" s="519">
        <v>9</v>
      </c>
      <c r="BI63" s="513">
        <v>43753</v>
      </c>
      <c r="BJ63" s="519">
        <v>19</v>
      </c>
      <c r="BK63" s="514" t="s">
        <v>2281</v>
      </c>
      <c r="BL63" s="513"/>
      <c r="BM63" s="513"/>
      <c r="BN63" s="519"/>
      <c r="BO63" s="513"/>
      <c r="BP63" s="519"/>
      <c r="BQ63" s="514"/>
      <c r="BR63" s="277"/>
      <c r="BS63" s="278"/>
    </row>
    <row r="64" spans="1:71" ht="120.75" x14ac:dyDescent="0.4">
      <c r="A64" s="492"/>
      <c r="B64" s="263" t="s">
        <v>2099</v>
      </c>
      <c r="C64" s="263" t="s">
        <v>2312</v>
      </c>
      <c r="D64" s="263" t="s">
        <v>2100</v>
      </c>
      <c r="E64" s="235" t="s">
        <v>1023</v>
      </c>
      <c r="F64" s="263" t="s">
        <v>2101</v>
      </c>
      <c r="G64" s="263" t="s">
        <v>717</v>
      </c>
      <c r="H64" s="375" t="s">
        <v>404</v>
      </c>
      <c r="I64" s="263" t="s">
        <v>148</v>
      </c>
      <c r="J64" s="263" t="s">
        <v>2102</v>
      </c>
      <c r="K64" s="263" t="s">
        <v>2103</v>
      </c>
      <c r="L64" s="263" t="s">
        <v>2104</v>
      </c>
      <c r="M64" s="263" t="s">
        <v>146</v>
      </c>
      <c r="N64" s="236" t="s">
        <v>2105</v>
      </c>
      <c r="O64" s="263" t="s">
        <v>2106</v>
      </c>
      <c r="P64" s="235" t="s">
        <v>840</v>
      </c>
      <c r="Q64" s="273">
        <v>2015</v>
      </c>
      <c r="R64" s="272">
        <v>43191</v>
      </c>
      <c r="S64" s="273">
        <v>9</v>
      </c>
      <c r="T64" s="273" t="s">
        <v>894</v>
      </c>
      <c r="U64" s="257">
        <v>1</v>
      </c>
      <c r="V64" s="272">
        <v>43076</v>
      </c>
      <c r="W64" s="263" t="s">
        <v>1789</v>
      </c>
      <c r="X64" s="272">
        <v>43363</v>
      </c>
      <c r="Y64" s="274">
        <v>43392</v>
      </c>
      <c r="Z64" s="275" t="s">
        <v>2107</v>
      </c>
      <c r="AA64" s="272">
        <v>43410</v>
      </c>
      <c r="AB64" s="292" t="s">
        <v>2108</v>
      </c>
      <c r="AC64" s="255">
        <v>43438</v>
      </c>
      <c r="AD64" s="272">
        <v>43613</v>
      </c>
      <c r="AE64" s="264">
        <f t="shared" si="3"/>
        <v>28</v>
      </c>
      <c r="AF64" s="257">
        <f t="shared" si="6"/>
        <v>175</v>
      </c>
      <c r="AG64" s="263"/>
      <c r="AH64" s="237"/>
      <c r="AI64" s="237"/>
      <c r="AJ64" s="237"/>
      <c r="AK64" s="237"/>
      <c r="AL64" s="276" t="s">
        <v>2314</v>
      </c>
      <c r="AM64" s="276" t="s">
        <v>2314</v>
      </c>
      <c r="AN64" s="276" t="s">
        <v>2314</v>
      </c>
      <c r="AO64" s="276" t="s">
        <v>2314</v>
      </c>
      <c r="AP64" s="276" t="s">
        <v>2314</v>
      </c>
      <c r="AQ64" s="280">
        <v>2869</v>
      </c>
      <c r="AR64" s="280">
        <v>3825</v>
      </c>
      <c r="AS64" s="280">
        <v>3825</v>
      </c>
      <c r="AT64" s="280"/>
      <c r="AU64" s="280"/>
      <c r="AV64" s="280"/>
      <c r="AW64" s="280"/>
      <c r="AX64" s="280"/>
      <c r="AY64" s="280"/>
      <c r="AZ64" s="280"/>
      <c r="BA64" s="280"/>
      <c r="BB64" s="280"/>
      <c r="BC64" s="280"/>
      <c r="BD64" s="246">
        <f>BE64/COUNT(AL64:BC64)</f>
        <v>3506.3333333333335</v>
      </c>
      <c r="BE64" s="246">
        <f>SUM(AL64:BC64)</f>
        <v>10519</v>
      </c>
      <c r="BF64" s="513"/>
      <c r="BG64" s="513"/>
      <c r="BH64" s="519"/>
      <c r="BI64" s="513"/>
      <c r="BJ64" s="519"/>
      <c r="BK64" s="514"/>
      <c r="BL64" s="513"/>
      <c r="BM64" s="513"/>
      <c r="BN64" s="519"/>
      <c r="BO64" s="513"/>
      <c r="BP64" s="519"/>
      <c r="BQ64" s="514"/>
      <c r="BR64" s="277"/>
      <c r="BS64" s="278"/>
    </row>
    <row r="65" spans="1:71" ht="172.5" x14ac:dyDescent="0.4">
      <c r="A65" s="492"/>
      <c r="B65" s="263" t="s">
        <v>2109</v>
      </c>
      <c r="C65" s="263" t="s">
        <v>2312</v>
      </c>
      <c r="D65" s="263" t="s">
        <v>2110</v>
      </c>
      <c r="E65" s="235" t="s">
        <v>2111</v>
      </c>
      <c r="F65" s="263" t="s">
        <v>2112</v>
      </c>
      <c r="G65" s="263" t="s">
        <v>2113</v>
      </c>
      <c r="H65" s="375" t="s">
        <v>404</v>
      </c>
      <c r="I65" s="263" t="s">
        <v>148</v>
      </c>
      <c r="J65" s="263" t="s">
        <v>2114</v>
      </c>
      <c r="K65" s="263" t="s">
        <v>2115</v>
      </c>
      <c r="L65" s="263" t="s">
        <v>2116</v>
      </c>
      <c r="M65" s="263" t="s">
        <v>146</v>
      </c>
      <c r="N65" s="236" t="s">
        <v>1832</v>
      </c>
      <c r="O65" s="263" t="s">
        <v>415</v>
      </c>
      <c r="P65" s="235" t="s">
        <v>840</v>
      </c>
      <c r="Q65" s="273">
        <v>2016</v>
      </c>
      <c r="R65" s="272">
        <v>43070</v>
      </c>
      <c r="S65" s="273">
        <v>9</v>
      </c>
      <c r="T65" s="273" t="s">
        <v>841</v>
      </c>
      <c r="U65" s="257">
        <v>1</v>
      </c>
      <c r="V65" s="272">
        <v>43000</v>
      </c>
      <c r="W65" s="263" t="s">
        <v>2117</v>
      </c>
      <c r="X65" s="272">
        <v>43425</v>
      </c>
      <c r="Y65" s="274">
        <v>43454</v>
      </c>
      <c r="Z65" s="275" t="s">
        <v>2107</v>
      </c>
      <c r="AA65" s="272">
        <v>43546</v>
      </c>
      <c r="AB65" s="292" t="s">
        <v>2118</v>
      </c>
      <c r="AC65" s="255">
        <v>43566</v>
      </c>
      <c r="AD65" s="272">
        <v>43613</v>
      </c>
      <c r="AE65" s="264">
        <f t="shared" si="3"/>
        <v>20</v>
      </c>
      <c r="AF65" s="257">
        <f t="shared" si="6"/>
        <v>47</v>
      </c>
      <c r="AG65" s="263"/>
      <c r="AH65" s="237"/>
      <c r="AI65" s="237"/>
      <c r="AJ65" s="237"/>
      <c r="AK65" s="237"/>
      <c r="AL65" s="276" t="s">
        <v>2314</v>
      </c>
      <c r="AM65" s="276" t="s">
        <v>2314</v>
      </c>
      <c r="AN65" s="276" t="s">
        <v>2314</v>
      </c>
      <c r="AO65" s="276" t="s">
        <v>2314</v>
      </c>
      <c r="AP65" s="280">
        <v>93</v>
      </c>
      <c r="AQ65" s="280">
        <v>1176</v>
      </c>
      <c r="AR65" s="280">
        <v>1220</v>
      </c>
      <c r="AS65" s="280">
        <v>1220</v>
      </c>
      <c r="AT65" s="280"/>
      <c r="AU65" s="280"/>
      <c r="AV65" s="280"/>
      <c r="AW65" s="280"/>
      <c r="AX65" s="280"/>
      <c r="AY65" s="280"/>
      <c r="AZ65" s="280"/>
      <c r="BA65" s="280"/>
      <c r="BB65" s="280"/>
      <c r="BC65" s="280"/>
      <c r="BD65" s="246">
        <f t="shared" ref="BD65:BD68" si="9">BE65/COUNT(AL65:BC65)</f>
        <v>927.25</v>
      </c>
      <c r="BE65" s="246">
        <f t="shared" ref="BE65:BE68" si="10">SUM(AL65:BC65)</f>
        <v>3709</v>
      </c>
      <c r="BF65" s="513"/>
      <c r="BG65" s="513"/>
      <c r="BH65" s="519"/>
      <c r="BI65" s="513"/>
      <c r="BJ65" s="519"/>
      <c r="BK65" s="514"/>
      <c r="BL65" s="513"/>
      <c r="BM65" s="513"/>
      <c r="BN65" s="519"/>
      <c r="BO65" s="513"/>
      <c r="BP65" s="519"/>
      <c r="BQ65" s="514"/>
      <c r="BR65" s="277"/>
      <c r="BS65" s="278"/>
    </row>
    <row r="66" spans="1:71" ht="69" x14ac:dyDescent="0.4">
      <c r="A66" s="492"/>
      <c r="B66" s="263" t="s">
        <v>2119</v>
      </c>
      <c r="C66" s="263" t="s">
        <v>2312</v>
      </c>
      <c r="D66" s="263" t="s">
        <v>2120</v>
      </c>
      <c r="E66" s="235" t="s">
        <v>1023</v>
      </c>
      <c r="F66" s="263" t="s">
        <v>2121</v>
      </c>
      <c r="G66" s="263" t="s">
        <v>745</v>
      </c>
      <c r="H66" s="375" t="s">
        <v>404</v>
      </c>
      <c r="I66" s="263" t="s">
        <v>2122</v>
      </c>
      <c r="J66" s="263" t="s">
        <v>2123</v>
      </c>
      <c r="K66" s="263" t="s">
        <v>2124</v>
      </c>
      <c r="L66" s="263" t="s">
        <v>2125</v>
      </c>
      <c r="M66" s="263" t="s">
        <v>146</v>
      </c>
      <c r="N66" s="236" t="s">
        <v>1863</v>
      </c>
      <c r="O66" s="263" t="s">
        <v>415</v>
      </c>
      <c r="P66" s="235" t="s">
        <v>840</v>
      </c>
      <c r="Q66" s="273">
        <v>2016</v>
      </c>
      <c r="R66" s="272">
        <v>43025</v>
      </c>
      <c r="S66" s="273">
        <v>18</v>
      </c>
      <c r="T66" s="273" t="s">
        <v>841</v>
      </c>
      <c r="U66" s="257">
        <v>1</v>
      </c>
      <c r="V66" s="272">
        <v>43000</v>
      </c>
      <c r="W66" s="263" t="s">
        <v>2117</v>
      </c>
      <c r="X66" s="272">
        <v>43438</v>
      </c>
      <c r="Y66" s="274">
        <v>43467</v>
      </c>
      <c r="Z66" s="275" t="s">
        <v>2107</v>
      </c>
      <c r="AA66" s="272">
        <v>43544</v>
      </c>
      <c r="AB66" s="292" t="s">
        <v>2126</v>
      </c>
      <c r="AC66" s="272">
        <v>43559</v>
      </c>
      <c r="AD66" s="272">
        <v>43613</v>
      </c>
      <c r="AE66" s="264">
        <f t="shared" si="3"/>
        <v>15</v>
      </c>
      <c r="AF66" s="257">
        <f t="shared" si="6"/>
        <v>54</v>
      </c>
      <c r="AG66" s="263"/>
      <c r="AH66" s="237"/>
      <c r="AI66" s="237"/>
      <c r="AJ66" s="237"/>
      <c r="AK66" s="237"/>
      <c r="AL66" s="276" t="s">
        <v>2314</v>
      </c>
      <c r="AM66" s="276" t="s">
        <v>2314</v>
      </c>
      <c r="AN66" s="276" t="s">
        <v>2314</v>
      </c>
      <c r="AO66" s="276" t="s">
        <v>2314</v>
      </c>
      <c r="AP66" s="280">
        <v>184</v>
      </c>
      <c r="AQ66" s="280">
        <v>738</v>
      </c>
      <c r="AR66" s="280">
        <v>738</v>
      </c>
      <c r="AS66" s="280">
        <v>738</v>
      </c>
      <c r="AT66" s="280"/>
      <c r="AU66" s="280"/>
      <c r="AV66" s="280"/>
      <c r="AW66" s="280"/>
      <c r="AX66" s="280"/>
      <c r="AY66" s="280"/>
      <c r="AZ66" s="280"/>
      <c r="BA66" s="280"/>
      <c r="BB66" s="280"/>
      <c r="BC66" s="280"/>
      <c r="BD66" s="246">
        <f t="shared" si="9"/>
        <v>599.5</v>
      </c>
      <c r="BE66" s="246">
        <f t="shared" si="10"/>
        <v>2398</v>
      </c>
      <c r="BF66" s="513"/>
      <c r="BG66" s="513"/>
      <c r="BH66" s="519"/>
      <c r="BI66" s="513"/>
      <c r="BJ66" s="519"/>
      <c r="BK66" s="514"/>
      <c r="BL66" s="513"/>
      <c r="BM66" s="513"/>
      <c r="BN66" s="519"/>
      <c r="BO66" s="513"/>
      <c r="BP66" s="519"/>
      <c r="BQ66" s="514"/>
      <c r="BR66" s="277"/>
      <c r="BS66" s="278"/>
    </row>
    <row r="67" spans="1:71" ht="409.5" x14ac:dyDescent="0.4">
      <c r="A67" s="492"/>
      <c r="B67" s="263" t="s">
        <v>2127</v>
      </c>
      <c r="C67" s="263" t="s">
        <v>2312</v>
      </c>
      <c r="D67" s="263" t="s">
        <v>2128</v>
      </c>
      <c r="E67" s="235" t="s">
        <v>1023</v>
      </c>
      <c r="F67" s="263" t="s">
        <v>2129</v>
      </c>
      <c r="G67" s="263" t="s">
        <v>2130</v>
      </c>
      <c r="H67" s="236" t="s">
        <v>404</v>
      </c>
      <c r="I67" s="235" t="s">
        <v>2131</v>
      </c>
      <c r="J67" s="263" t="s">
        <v>2132</v>
      </c>
      <c r="K67" s="263" t="s">
        <v>2133</v>
      </c>
      <c r="L67" s="263" t="s">
        <v>2134</v>
      </c>
      <c r="M67" s="263" t="s">
        <v>2135</v>
      </c>
      <c r="N67" s="236" t="s">
        <v>2136</v>
      </c>
      <c r="O67" s="263" t="s">
        <v>2106</v>
      </c>
      <c r="P67" s="235" t="s">
        <v>840</v>
      </c>
      <c r="Q67" s="273">
        <v>2016</v>
      </c>
      <c r="R67" s="272">
        <v>43101</v>
      </c>
      <c r="S67" s="273">
        <v>18</v>
      </c>
      <c r="T67" s="273" t="s">
        <v>841</v>
      </c>
      <c r="U67" s="257">
        <v>3</v>
      </c>
      <c r="V67" s="272" t="s">
        <v>2137</v>
      </c>
      <c r="W67" s="263" t="s">
        <v>2138</v>
      </c>
      <c r="X67" s="272">
        <v>43489</v>
      </c>
      <c r="Y67" s="274">
        <v>43518</v>
      </c>
      <c r="Z67" s="275" t="s">
        <v>2107</v>
      </c>
      <c r="AA67" s="272">
        <v>43539</v>
      </c>
      <c r="AB67" s="292" t="s">
        <v>2139</v>
      </c>
      <c r="AC67" s="272">
        <v>43542</v>
      </c>
      <c r="AD67" s="272">
        <v>43613</v>
      </c>
      <c r="AE67" s="264">
        <f t="shared" si="3"/>
        <v>3</v>
      </c>
      <c r="AF67" s="257">
        <f t="shared" si="6"/>
        <v>71</v>
      </c>
      <c r="AG67" s="263"/>
      <c r="AH67" s="237"/>
      <c r="AI67" s="237"/>
      <c r="AJ67" s="237"/>
      <c r="AK67" s="237"/>
      <c r="AL67" s="276" t="s">
        <v>2314</v>
      </c>
      <c r="AM67" s="276" t="s">
        <v>2314</v>
      </c>
      <c r="AN67" s="276" t="s">
        <v>2314</v>
      </c>
      <c r="AO67" s="276" t="s">
        <v>2314</v>
      </c>
      <c r="AP67" s="276" t="s">
        <v>2314</v>
      </c>
      <c r="AQ67" s="280">
        <v>3477</v>
      </c>
      <c r="AR67" s="280">
        <v>3477</v>
      </c>
      <c r="AS67" s="280">
        <v>3477</v>
      </c>
      <c r="AT67" s="280"/>
      <c r="AU67" s="280"/>
      <c r="AV67" s="280"/>
      <c r="AW67" s="280"/>
      <c r="AX67" s="280"/>
      <c r="AY67" s="280"/>
      <c r="AZ67" s="280"/>
      <c r="BA67" s="280"/>
      <c r="BB67" s="280"/>
      <c r="BC67" s="280"/>
      <c r="BD67" s="246">
        <f t="shared" si="9"/>
        <v>3477</v>
      </c>
      <c r="BE67" s="246">
        <f t="shared" si="10"/>
        <v>10431</v>
      </c>
      <c r="BF67" s="513"/>
      <c r="BG67" s="513"/>
      <c r="BH67" s="519"/>
      <c r="BI67" s="513"/>
      <c r="BJ67" s="519"/>
      <c r="BK67" s="514"/>
      <c r="BL67" s="513"/>
      <c r="BM67" s="513"/>
      <c r="BN67" s="519"/>
      <c r="BO67" s="513"/>
      <c r="BP67" s="519"/>
      <c r="BQ67" s="514"/>
      <c r="BR67" s="277"/>
      <c r="BS67" s="278"/>
    </row>
    <row r="68" spans="1:71" ht="120.75" x14ac:dyDescent="0.4">
      <c r="A68" s="493"/>
      <c r="B68" s="494" t="s">
        <v>2140</v>
      </c>
      <c r="C68" s="494" t="s">
        <v>2312</v>
      </c>
      <c r="D68" s="494" t="s">
        <v>2141</v>
      </c>
      <c r="E68" s="495" t="s">
        <v>2142</v>
      </c>
      <c r="F68" s="494" t="s">
        <v>2143</v>
      </c>
      <c r="G68" s="494" t="s">
        <v>2144</v>
      </c>
      <c r="H68" s="496" t="s">
        <v>404</v>
      </c>
      <c r="I68" s="494" t="s">
        <v>148</v>
      </c>
      <c r="J68" s="494" t="s">
        <v>2145</v>
      </c>
      <c r="K68" s="494" t="s">
        <v>2146</v>
      </c>
      <c r="L68" s="494" t="s">
        <v>2147</v>
      </c>
      <c r="M68" s="494" t="s">
        <v>146</v>
      </c>
      <c r="N68" s="496" t="s">
        <v>2148</v>
      </c>
      <c r="O68" s="494" t="s">
        <v>415</v>
      </c>
      <c r="P68" s="495" t="s">
        <v>840</v>
      </c>
      <c r="Q68" s="497" t="s">
        <v>418</v>
      </c>
      <c r="R68" s="498">
        <v>43299</v>
      </c>
      <c r="S68" s="497">
        <v>7</v>
      </c>
      <c r="T68" s="497" t="s">
        <v>841</v>
      </c>
      <c r="U68" s="499">
        <v>1</v>
      </c>
      <c r="V68" s="498">
        <v>43075</v>
      </c>
      <c r="W68" s="494" t="s">
        <v>2149</v>
      </c>
      <c r="X68" s="498">
        <v>43501</v>
      </c>
      <c r="Y68" s="500">
        <v>43530</v>
      </c>
      <c r="Z68" s="501" t="s">
        <v>2107</v>
      </c>
      <c r="AA68" s="498">
        <v>43546</v>
      </c>
      <c r="AB68" s="502" t="s">
        <v>2150</v>
      </c>
      <c r="AC68" s="498">
        <v>43581</v>
      </c>
      <c r="AD68" s="498">
        <v>43613</v>
      </c>
      <c r="AE68" s="503">
        <f t="shared" si="3"/>
        <v>35</v>
      </c>
      <c r="AF68" s="499">
        <f t="shared" si="6"/>
        <v>32</v>
      </c>
      <c r="AG68" s="494"/>
      <c r="AH68" s="504"/>
      <c r="AI68" s="504"/>
      <c r="AJ68" s="504"/>
      <c r="AK68" s="504"/>
      <c r="AL68" s="276" t="s">
        <v>2314</v>
      </c>
      <c r="AM68" s="276" t="s">
        <v>2314</v>
      </c>
      <c r="AN68" s="276" t="s">
        <v>2314</v>
      </c>
      <c r="AO68" s="276" t="s">
        <v>2314</v>
      </c>
      <c r="AP68" s="276" t="s">
        <v>2314</v>
      </c>
      <c r="AQ68" s="505">
        <v>98</v>
      </c>
      <c r="AR68" s="505">
        <v>591</v>
      </c>
      <c r="AS68" s="505">
        <v>591</v>
      </c>
      <c r="AT68" s="505"/>
      <c r="AU68" s="505"/>
      <c r="AV68" s="505"/>
      <c r="AW68" s="505"/>
      <c r="AX68" s="505"/>
      <c r="AY68" s="505"/>
      <c r="AZ68" s="505"/>
      <c r="BA68" s="505"/>
      <c r="BB68" s="505"/>
      <c r="BC68" s="505"/>
      <c r="BD68" s="506">
        <f t="shared" si="9"/>
        <v>426.66666666666669</v>
      </c>
      <c r="BE68" s="246">
        <f t="shared" si="10"/>
        <v>1280</v>
      </c>
      <c r="BF68" s="513"/>
      <c r="BG68" s="513"/>
      <c r="BH68" s="519"/>
      <c r="BI68" s="513"/>
      <c r="BJ68" s="519"/>
      <c r="BK68" s="514"/>
      <c r="BL68" s="513"/>
      <c r="BM68" s="513"/>
      <c r="BN68" s="519"/>
      <c r="BO68" s="513"/>
      <c r="BP68" s="519"/>
      <c r="BQ68" s="514"/>
      <c r="BR68" s="277"/>
      <c r="BS68" s="278"/>
    </row>
    <row r="69" spans="1:71" x14ac:dyDescent="0.4">
      <c r="A69" s="453"/>
      <c r="B69" s="517" t="s">
        <v>2252</v>
      </c>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517"/>
      <c r="AE69" s="517"/>
      <c r="AF69" s="517">
        <f>SUBTOTAL(1, AF5:AF68)</f>
        <v>109.53125</v>
      </c>
      <c r="AG69" s="517"/>
      <c r="AH69" s="517"/>
      <c r="AI69" s="517"/>
      <c r="AJ69" s="517"/>
      <c r="AK69" s="517" t="s">
        <v>2253</v>
      </c>
      <c r="AL69" s="517">
        <f>IFERROR(SUBTOTAL(9, AL5:AL68), "N/A")</f>
        <v>0</v>
      </c>
      <c r="AM69" s="517">
        <f>SUBTOTAL(9, AM5:AM68)</f>
        <v>163</v>
      </c>
      <c r="AN69" s="517">
        <f t="shared" ref="AN69:BD69" si="11">SUBTOTAL(9, AN5:AN68)</f>
        <v>1632</v>
      </c>
      <c r="AO69" s="517">
        <f t="shared" si="11"/>
        <v>4604</v>
      </c>
      <c r="AP69" s="517">
        <f t="shared" si="11"/>
        <v>45752</v>
      </c>
      <c r="AQ69" s="517">
        <f t="shared" si="11"/>
        <v>247157</v>
      </c>
      <c r="AR69" s="517">
        <f t="shared" si="11"/>
        <v>317321</v>
      </c>
      <c r="AS69" s="517">
        <f t="shared" si="11"/>
        <v>320102</v>
      </c>
      <c r="AT69" s="517">
        <f t="shared" si="11"/>
        <v>108242</v>
      </c>
      <c r="AU69" s="517">
        <f t="shared" si="11"/>
        <v>106063</v>
      </c>
      <c r="AV69" s="517">
        <f t="shared" si="11"/>
        <v>106244</v>
      </c>
      <c r="AW69" s="517">
        <f t="shared" si="11"/>
        <v>106889</v>
      </c>
      <c r="AX69" s="517">
        <f t="shared" si="11"/>
        <v>103737</v>
      </c>
      <c r="AY69" s="517">
        <f t="shared" si="11"/>
        <v>100010</v>
      </c>
      <c r="AZ69" s="517">
        <f t="shared" si="11"/>
        <v>79674</v>
      </c>
      <c r="BA69" s="517">
        <f t="shared" si="11"/>
        <v>78433</v>
      </c>
      <c r="BB69" s="517">
        <f t="shared" si="11"/>
        <v>78246</v>
      </c>
      <c r="BC69" s="517">
        <f t="shared" si="11"/>
        <v>78660</v>
      </c>
      <c r="BD69" s="517">
        <f t="shared" si="11"/>
        <v>296371.18696026201</v>
      </c>
      <c r="BE69" s="517">
        <f>SUBTOTAL(9, BE5:BE68)</f>
        <v>1882929</v>
      </c>
      <c r="BF69" s="518"/>
      <c r="BG69" s="518"/>
      <c r="BH69" s="517">
        <f>SUBTOTAL(9, BH5:BH68)</f>
        <v>29027</v>
      </c>
      <c r="BI69" s="518"/>
      <c r="BJ69" s="517">
        <f>SUBTOTAL(9, BJ5:BJ68)</f>
        <v>59170</v>
      </c>
      <c r="BK69" s="518"/>
      <c r="BL69" s="518"/>
      <c r="BM69" s="518"/>
      <c r="BN69" s="517">
        <f>SUBTOTAL(9, BN5:BN68)</f>
        <v>66</v>
      </c>
      <c r="BO69" s="517"/>
      <c r="BP69" s="517">
        <f>SUBTOTAL(9, BP5:BP68)</f>
        <v>260</v>
      </c>
      <c r="BQ69" s="518"/>
    </row>
  </sheetData>
  <autoFilter ref="A4:BS68"/>
  <mergeCells count="3">
    <mergeCell ref="AA3:AB3"/>
    <mergeCell ref="AC3:AF3"/>
    <mergeCell ref="AH3:AK3"/>
  </mergeCells>
  <phoneticPr fontId="3"/>
  <dataValidations count="1">
    <dataValidation type="list" allowBlank="1" showInputMessage="1" showErrorMessage="1" sqref="T5:T68">
      <formula1>"Yes, 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249977111117893"/>
  </sheetPr>
  <dimension ref="A1:V142"/>
  <sheetViews>
    <sheetView showGridLines="0" zoomScale="70" zoomScaleNormal="70" workbookViewId="0"/>
  </sheetViews>
  <sheetFormatPr defaultRowHeight="18.75" x14ac:dyDescent="0.4"/>
  <cols>
    <col min="1" max="1" width="8.875" customWidth="1"/>
    <col min="2" max="2" width="27.375" customWidth="1"/>
    <col min="3" max="20" width="13.625" customWidth="1"/>
    <col min="21" max="21" width="14.75" customWidth="1"/>
  </cols>
  <sheetData>
    <row r="1" spans="1:22" ht="25.5" x14ac:dyDescent="0.35">
      <c r="A1" s="338" t="s">
        <v>1906</v>
      </c>
      <c r="B1" s="339"/>
      <c r="C1" s="339"/>
      <c r="D1" s="339"/>
      <c r="E1" s="339"/>
      <c r="F1" s="339"/>
      <c r="G1" s="339"/>
      <c r="H1" s="339"/>
      <c r="I1" s="339"/>
      <c r="J1" s="339"/>
      <c r="K1" s="340"/>
      <c r="L1" s="340"/>
      <c r="M1" s="340"/>
      <c r="N1" s="340"/>
      <c r="O1" s="340"/>
      <c r="P1" s="340"/>
      <c r="Q1" s="340"/>
      <c r="R1" s="340"/>
      <c r="S1" s="340"/>
      <c r="T1" s="340"/>
      <c r="U1" s="341"/>
      <c r="V1" s="341"/>
    </row>
    <row r="2" spans="1:22" x14ac:dyDescent="0.2">
      <c r="A2" s="196"/>
      <c r="B2" s="152"/>
      <c r="C2" s="152"/>
      <c r="D2" s="152"/>
      <c r="E2" s="152"/>
      <c r="F2" s="152"/>
      <c r="G2" s="152"/>
      <c r="H2" s="152"/>
      <c r="I2" s="152"/>
      <c r="J2" s="154"/>
      <c r="K2" s="152"/>
      <c r="L2" s="152"/>
      <c r="M2" s="152"/>
      <c r="N2" s="152"/>
      <c r="O2" s="152"/>
      <c r="P2" s="152"/>
      <c r="Q2" s="152"/>
      <c r="R2" s="152"/>
      <c r="S2" s="152"/>
      <c r="T2" s="152"/>
      <c r="U2" s="152"/>
      <c r="V2" s="445"/>
    </row>
    <row r="3" spans="1:22" x14ac:dyDescent="0.2">
      <c r="A3" s="196"/>
      <c r="B3" s="165"/>
      <c r="C3" s="165"/>
      <c r="D3" s="165"/>
      <c r="E3" s="165"/>
      <c r="F3" s="165"/>
      <c r="G3" s="165"/>
      <c r="H3" s="165"/>
      <c r="I3" s="165"/>
      <c r="J3" s="191"/>
      <c r="K3" s="165"/>
      <c r="L3" s="165"/>
      <c r="M3" s="165"/>
      <c r="N3" s="165"/>
      <c r="O3" s="165"/>
      <c r="P3" s="165"/>
      <c r="Q3" s="152"/>
      <c r="R3" s="165"/>
      <c r="S3" s="165"/>
      <c r="T3" s="165"/>
      <c r="U3" s="165"/>
      <c r="V3" s="445"/>
    </row>
    <row r="4" spans="1:22" ht="19.5" x14ac:dyDescent="0.3">
      <c r="A4" s="198"/>
      <c r="B4" s="297" t="s">
        <v>1085</v>
      </c>
      <c r="C4" s="298"/>
      <c r="D4" s="298"/>
      <c r="E4" s="298"/>
      <c r="F4" s="298"/>
      <c r="G4" s="299"/>
      <c r="H4" s="153"/>
      <c r="I4" s="300" t="s">
        <v>1086</v>
      </c>
      <c r="J4" s="301"/>
      <c r="K4" s="301"/>
      <c r="L4" s="302"/>
      <c r="M4" s="301"/>
      <c r="N4" s="301"/>
      <c r="O4" s="302"/>
      <c r="P4" s="153"/>
      <c r="Q4" s="303" t="s">
        <v>1087</v>
      </c>
      <c r="R4" s="298"/>
      <c r="S4" s="298"/>
      <c r="T4" s="299"/>
      <c r="U4" s="304"/>
      <c r="V4" s="445"/>
    </row>
    <row r="5" spans="1:22" ht="57" x14ac:dyDescent="0.2">
      <c r="A5" s="196"/>
      <c r="B5" s="305"/>
      <c r="C5" s="306" t="s">
        <v>404</v>
      </c>
      <c r="D5" s="306" t="s">
        <v>413</v>
      </c>
      <c r="E5" s="306" t="s">
        <v>769</v>
      </c>
      <c r="F5" s="306" t="s">
        <v>1088</v>
      </c>
      <c r="G5" s="306" t="s">
        <v>770</v>
      </c>
      <c r="H5" s="152"/>
      <c r="I5" s="177"/>
      <c r="J5" s="177"/>
      <c r="K5" s="177"/>
      <c r="L5" s="177"/>
      <c r="M5" s="177"/>
      <c r="N5" s="177"/>
      <c r="O5" s="177"/>
      <c r="P5" s="177"/>
      <c r="Q5" s="177"/>
      <c r="R5" s="177"/>
      <c r="S5" s="166"/>
      <c r="T5" s="177"/>
      <c r="U5" s="152"/>
      <c r="V5" s="445"/>
    </row>
    <row r="6" spans="1:22" x14ac:dyDescent="0.2">
      <c r="A6" s="196"/>
      <c r="B6" s="307" t="s">
        <v>1916</v>
      </c>
      <c r="C6" s="307">
        <f>COUNTIFS('Project Data'!$E:$E, 'Project Data_summary'!B6, 'Project Data'!$H:$H, 'Project Data_summary'!$C$5)</f>
        <v>20</v>
      </c>
      <c r="D6" s="307">
        <f>COUNTIFS('Project Data'!$E:$E, 'Project Data_summary'!B6, 'Project Data'!$H:$H, 'Project Data_summary'!$D$5)</f>
        <v>2</v>
      </c>
      <c r="E6" s="307">
        <f>COUNTIFS('Project Data'!$E:$E, 'Project Data_summary'!B6, 'Project Data'!$H:$H, 'Project Data_summary'!$E$5)</f>
        <v>0</v>
      </c>
      <c r="F6" s="307">
        <f>COUNTIFS('Project Data'!$E:$E, 'Project Data_summary'!B6, 'Project Data'!$H:$H, 'Project Data_summary'!$F$5)</f>
        <v>0</v>
      </c>
      <c r="G6" s="307">
        <f>SUM(C6:F6)</f>
        <v>22</v>
      </c>
      <c r="H6" s="152"/>
      <c r="I6" s="152"/>
      <c r="J6" s="152"/>
      <c r="K6" s="152"/>
      <c r="L6" s="152"/>
      <c r="M6" s="152"/>
      <c r="N6" s="152"/>
      <c r="O6" s="152"/>
      <c r="P6" s="152"/>
      <c r="Q6" s="152"/>
      <c r="R6" s="152"/>
      <c r="S6" s="154"/>
      <c r="T6" s="152"/>
      <c r="U6" s="152"/>
      <c r="V6" s="445"/>
    </row>
    <row r="7" spans="1:22" x14ac:dyDescent="0.2">
      <c r="A7" s="196"/>
      <c r="B7" s="307" t="s">
        <v>630</v>
      </c>
      <c r="C7" s="307">
        <f>COUNTIFS('Project Data'!$E:$E, 'Project Data_summary'!B7, 'Project Data'!$H:$H, 'Project Data_summary'!$C$5)</f>
        <v>12</v>
      </c>
      <c r="D7" s="307">
        <f>COUNTIFS('Project Data'!$E:$E, 'Project Data_summary'!B7, 'Project Data'!$H:$H, 'Project Data_summary'!$D$5)</f>
        <v>1</v>
      </c>
      <c r="E7" s="307">
        <f>COUNTIFS('Project Data'!$E:$E, 'Project Data_summary'!B7, 'Project Data'!$H:$H, 'Project Data_summary'!$E$5)</f>
        <v>0</v>
      </c>
      <c r="F7" s="307">
        <f>COUNTIFS('Project Data'!$E:$E, 'Project Data_summary'!B7, 'Project Data'!$H:$H, 'Project Data_summary'!$F$5)</f>
        <v>1</v>
      </c>
      <c r="G7" s="307">
        <f>SUM(C7:F7)</f>
        <v>14</v>
      </c>
      <c r="H7" s="152"/>
      <c r="I7" s="152"/>
      <c r="J7" s="152"/>
      <c r="K7" s="152"/>
      <c r="L7" s="152"/>
      <c r="M7" s="165"/>
      <c r="N7" s="165"/>
      <c r="O7" s="152"/>
      <c r="P7" s="152"/>
      <c r="Q7" s="152"/>
      <c r="R7" s="152"/>
      <c r="S7" s="154"/>
      <c r="T7" s="152"/>
      <c r="U7" s="152"/>
      <c r="V7" s="445"/>
    </row>
    <row r="8" spans="1:22" x14ac:dyDescent="0.2">
      <c r="A8" s="196"/>
      <c r="B8" s="307" t="s">
        <v>560</v>
      </c>
      <c r="C8" s="307">
        <f>COUNTIFS('Project Data'!$E:$E, 'Project Data_summary'!B8, 'Project Data'!$H:$H, 'Project Data_summary'!$C$5)</f>
        <v>4</v>
      </c>
      <c r="D8" s="307">
        <f>COUNTIFS('Project Data'!$E:$E, 'Project Data_summary'!B8, 'Project Data'!$H:$H, 'Project Data_summary'!$D$5)</f>
        <v>3</v>
      </c>
      <c r="E8" s="307">
        <f>COUNTIFS('Project Data'!$E:$E, 'Project Data_summary'!B8, 'Project Data'!$H:$H, 'Project Data_summary'!$E$5)</f>
        <v>0</v>
      </c>
      <c r="F8" s="307">
        <f>COUNTIFS('Project Data'!$E:$E, 'Project Data_summary'!B8, 'Project Data'!$H:$H, 'Project Data_summary'!$F$5)</f>
        <v>0</v>
      </c>
      <c r="G8" s="307">
        <f t="shared" ref="G8:G22" si="0">SUM(C8:F8)</f>
        <v>7</v>
      </c>
      <c r="H8" s="152"/>
      <c r="I8" s="152"/>
      <c r="J8" s="152"/>
      <c r="K8" s="152"/>
      <c r="L8" s="152"/>
      <c r="M8" s="152"/>
      <c r="N8" s="152"/>
      <c r="O8" s="152"/>
      <c r="P8" s="152"/>
      <c r="Q8" s="152"/>
      <c r="R8" s="152"/>
      <c r="S8" s="154"/>
      <c r="T8" s="152"/>
      <c r="U8" s="152"/>
      <c r="V8" s="445"/>
    </row>
    <row r="9" spans="1:22" x14ac:dyDescent="0.2">
      <c r="A9" s="196"/>
      <c r="B9" s="307" t="s">
        <v>509</v>
      </c>
      <c r="C9" s="307">
        <f>COUNTIFS('Project Data'!$E:$E, 'Project Data_summary'!B9, 'Project Data'!$H:$H, 'Project Data_summary'!$C$5)</f>
        <v>3</v>
      </c>
      <c r="D9" s="307">
        <f>COUNTIFS('Project Data'!$E:$E, 'Project Data_summary'!B9, 'Project Data'!$H:$H, 'Project Data_summary'!$D$5)</f>
        <v>2</v>
      </c>
      <c r="E9" s="307">
        <f>COUNTIFS('Project Data'!$E:$E, 'Project Data_summary'!B9, 'Project Data'!$H:$H, 'Project Data_summary'!$E$5)</f>
        <v>0</v>
      </c>
      <c r="F9" s="307">
        <f>COUNTIFS('Project Data'!$E:$E, 'Project Data_summary'!B9, 'Project Data'!$H:$H, 'Project Data_summary'!$F$5)</f>
        <v>0</v>
      </c>
      <c r="G9" s="307">
        <f t="shared" si="0"/>
        <v>5</v>
      </c>
      <c r="H9" s="152"/>
      <c r="I9" s="152"/>
      <c r="J9" s="152"/>
      <c r="K9" s="152"/>
      <c r="L9" s="152"/>
      <c r="M9" s="180"/>
      <c r="N9" s="152"/>
      <c r="O9" s="152"/>
      <c r="P9" s="152"/>
      <c r="Q9" s="152"/>
      <c r="R9" s="152"/>
      <c r="S9" s="154"/>
      <c r="T9" s="152"/>
      <c r="U9" s="152"/>
      <c r="V9" s="445"/>
    </row>
    <row r="10" spans="1:22" x14ac:dyDescent="0.2">
      <c r="A10" s="196"/>
      <c r="B10" s="307" t="s">
        <v>548</v>
      </c>
      <c r="C10" s="307">
        <f>COUNTIFS('Project Data'!$E:$E, 'Project Data_summary'!B10, 'Project Data'!$H:$H, 'Project Data_summary'!$C$5)</f>
        <v>0</v>
      </c>
      <c r="D10" s="307">
        <f>COUNTIFS('Project Data'!$E:$E, 'Project Data_summary'!B10, 'Project Data'!$H:$H, 'Project Data_summary'!$D$5)</f>
        <v>3</v>
      </c>
      <c r="E10" s="307">
        <f>COUNTIFS('Project Data'!$E:$E, 'Project Data_summary'!B10, 'Project Data'!$H:$H, 'Project Data_summary'!$E$5)</f>
        <v>0</v>
      </c>
      <c r="F10" s="307">
        <f>COUNTIFS('Project Data'!$E:$E, 'Project Data_summary'!B10, 'Project Data'!$H:$H, 'Project Data_summary'!$F$5)</f>
        <v>0</v>
      </c>
      <c r="G10" s="307">
        <f t="shared" si="0"/>
        <v>3</v>
      </c>
      <c r="H10" s="152"/>
      <c r="I10" s="152"/>
      <c r="J10" s="152"/>
      <c r="K10" s="152"/>
      <c r="L10" s="152"/>
      <c r="M10" s="152"/>
      <c r="N10" s="152"/>
      <c r="O10" s="152"/>
      <c r="P10" s="152"/>
      <c r="Q10" s="152"/>
      <c r="R10" s="152"/>
      <c r="S10" s="154"/>
      <c r="T10" s="152"/>
      <c r="U10" s="152"/>
      <c r="V10" s="445"/>
    </row>
    <row r="11" spans="1:22" x14ac:dyDescent="0.2">
      <c r="A11" s="196"/>
      <c r="B11" s="307" t="s">
        <v>145</v>
      </c>
      <c r="C11" s="307">
        <f>COUNTIFS('Project Data'!$E:$E, 'Project Data_summary'!B11, 'Project Data'!$H:$H, 'Project Data_summary'!$C$5)</f>
        <v>2</v>
      </c>
      <c r="D11" s="307">
        <f>COUNTIFS('Project Data'!$E:$E, 'Project Data_summary'!B11, 'Project Data'!$H:$H, 'Project Data_summary'!$D$5)</f>
        <v>1</v>
      </c>
      <c r="E11" s="307">
        <f>COUNTIFS('Project Data'!$E:$E, 'Project Data_summary'!B11, 'Project Data'!$H:$H, 'Project Data_summary'!$E$5)</f>
        <v>0</v>
      </c>
      <c r="F11" s="307">
        <f>COUNTIFS('Project Data'!$E:$E, 'Project Data_summary'!B11, 'Project Data'!$H:$H, 'Project Data_summary'!$F$5)</f>
        <v>0</v>
      </c>
      <c r="G11" s="307">
        <f t="shared" si="0"/>
        <v>3</v>
      </c>
      <c r="H11" s="152"/>
      <c r="I11" s="152"/>
      <c r="J11" s="152"/>
      <c r="K11" s="152"/>
      <c r="L11" s="152"/>
      <c r="M11" s="152"/>
      <c r="N11" s="152"/>
      <c r="O11" s="152"/>
      <c r="P11" s="152"/>
      <c r="Q11" s="152"/>
      <c r="R11" s="152"/>
      <c r="S11" s="154"/>
      <c r="T11" s="152"/>
      <c r="U11" s="152"/>
      <c r="V11" s="445"/>
    </row>
    <row r="12" spans="1:22" x14ac:dyDescent="0.2">
      <c r="A12" s="196"/>
      <c r="B12" s="307" t="s">
        <v>430</v>
      </c>
      <c r="C12" s="307">
        <f>COUNTIFS('Project Data'!$E:$E, 'Project Data_summary'!B12, 'Project Data'!$H:$H, 'Project Data_summary'!$C$5)</f>
        <v>0</v>
      </c>
      <c r="D12" s="307">
        <f>COUNTIFS('Project Data'!$E:$E, 'Project Data_summary'!B12, 'Project Data'!$H:$H, 'Project Data_summary'!$D$5)</f>
        <v>2</v>
      </c>
      <c r="E12" s="307">
        <f>COUNTIFS('Project Data'!$E:$E, 'Project Data_summary'!B12, 'Project Data'!$H:$H, 'Project Data_summary'!$E$5)</f>
        <v>0</v>
      </c>
      <c r="F12" s="307">
        <f>COUNTIFS('Project Data'!$E:$E, 'Project Data_summary'!B12, 'Project Data'!$H:$H, 'Project Data_summary'!$F$5)</f>
        <v>0</v>
      </c>
      <c r="G12" s="307">
        <f t="shared" ref="G12:G13" si="1">SUM(C12:F12)</f>
        <v>2</v>
      </c>
      <c r="H12" s="152"/>
      <c r="I12" s="152"/>
      <c r="J12" s="152"/>
      <c r="K12" s="152"/>
      <c r="L12" s="152"/>
      <c r="M12" s="152"/>
      <c r="N12" s="152"/>
      <c r="O12" s="152"/>
      <c r="P12" s="152"/>
      <c r="Q12" s="152"/>
      <c r="R12" s="152"/>
      <c r="S12" s="154"/>
      <c r="T12" s="152"/>
      <c r="U12" s="152"/>
      <c r="V12" s="445"/>
    </row>
    <row r="13" spans="1:22" x14ac:dyDescent="0.2">
      <c r="A13" s="196"/>
      <c r="B13" s="307" t="s">
        <v>444</v>
      </c>
      <c r="C13" s="307">
        <f>COUNTIFS('Project Data'!$E:$E, 'Project Data_summary'!B13, 'Project Data'!$H:$H, 'Project Data_summary'!$C$5)</f>
        <v>1</v>
      </c>
      <c r="D13" s="307">
        <f>COUNTIFS('Project Data'!$E:$E, 'Project Data_summary'!B13, 'Project Data'!$H:$H, 'Project Data_summary'!$D$5)</f>
        <v>1</v>
      </c>
      <c r="E13" s="307">
        <f>COUNTIFS('Project Data'!$E:$E, 'Project Data_summary'!B13, 'Project Data'!$H:$H, 'Project Data_summary'!$E$5)</f>
        <v>0</v>
      </c>
      <c r="F13" s="307">
        <f>COUNTIFS('Project Data'!$E:$E, 'Project Data_summary'!B13, 'Project Data'!$H:$H, 'Project Data_summary'!$F$5)</f>
        <v>0</v>
      </c>
      <c r="G13" s="307">
        <f t="shared" si="1"/>
        <v>2</v>
      </c>
      <c r="H13" s="152"/>
      <c r="I13" s="152"/>
      <c r="J13" s="152"/>
      <c r="K13" s="152"/>
      <c r="L13" s="152"/>
      <c r="M13" s="152"/>
      <c r="N13" s="152"/>
      <c r="O13" s="152"/>
      <c r="P13" s="152"/>
      <c r="Q13" s="152"/>
      <c r="R13" s="152"/>
      <c r="S13" s="154"/>
      <c r="T13" s="152"/>
      <c r="U13" s="152"/>
      <c r="V13" s="445"/>
    </row>
    <row r="14" spans="1:22" x14ac:dyDescent="0.2">
      <c r="A14" s="196"/>
      <c r="B14" s="307" t="s">
        <v>553</v>
      </c>
      <c r="C14" s="307">
        <f>COUNTIFS('Project Data'!$E:$E, 'Project Data_summary'!B14, 'Project Data'!$H:$H, 'Project Data_summary'!$C$5)</f>
        <v>1</v>
      </c>
      <c r="D14" s="307">
        <f>COUNTIFS('Project Data'!$E:$E, 'Project Data_summary'!B14, 'Project Data'!$H:$H, 'Project Data_summary'!$D$5)</f>
        <v>0</v>
      </c>
      <c r="E14" s="307">
        <f>COUNTIFS('Project Data'!$E:$E, 'Project Data_summary'!B14, 'Project Data'!$H:$H, 'Project Data_summary'!$E$5)</f>
        <v>0</v>
      </c>
      <c r="F14" s="307">
        <f>COUNTIFS('Project Data'!$E:$E, 'Project Data_summary'!B14, 'Project Data'!$H:$H, 'Project Data_summary'!$F$5)</f>
        <v>0</v>
      </c>
      <c r="G14" s="307">
        <f t="shared" si="0"/>
        <v>1</v>
      </c>
      <c r="H14" s="152"/>
      <c r="I14" s="152"/>
      <c r="J14" s="152"/>
      <c r="K14" s="152"/>
      <c r="L14" s="152"/>
      <c r="M14" s="152"/>
      <c r="N14" s="152"/>
      <c r="O14" s="152"/>
      <c r="P14" s="152"/>
      <c r="Q14" s="152"/>
      <c r="R14" s="152"/>
      <c r="S14" s="154"/>
      <c r="T14" s="152"/>
      <c r="U14" s="152"/>
      <c r="V14" s="445"/>
    </row>
    <row r="15" spans="1:22" x14ac:dyDescent="0.2">
      <c r="A15" s="196"/>
      <c r="B15" s="307" t="s">
        <v>536</v>
      </c>
      <c r="C15" s="307">
        <f>COUNTIFS('Project Data'!$E:$E, 'Project Data_summary'!B15, 'Project Data'!$H:$H, 'Project Data_summary'!$C$5)</f>
        <v>0</v>
      </c>
      <c r="D15" s="307">
        <f>COUNTIFS('Project Data'!$E:$E, 'Project Data_summary'!B15, 'Project Data'!$H:$H, 'Project Data_summary'!$D$5)</f>
        <v>1</v>
      </c>
      <c r="E15" s="307">
        <f>COUNTIFS('Project Data'!$E:$E, 'Project Data_summary'!B15, 'Project Data'!$H:$H, 'Project Data_summary'!$E$5)</f>
        <v>0</v>
      </c>
      <c r="F15" s="307">
        <f>COUNTIFS('Project Data'!$E:$E, 'Project Data_summary'!B15, 'Project Data'!$H:$H, 'Project Data_summary'!$F$5)</f>
        <v>0</v>
      </c>
      <c r="G15" s="307">
        <f t="shared" si="0"/>
        <v>1</v>
      </c>
      <c r="H15" s="152"/>
      <c r="I15" s="152"/>
      <c r="J15" s="152"/>
      <c r="K15" s="152"/>
      <c r="L15" s="152"/>
      <c r="M15" s="152"/>
      <c r="N15" s="152"/>
      <c r="O15" s="152"/>
      <c r="P15" s="152"/>
      <c r="Q15" s="152"/>
      <c r="R15" s="152"/>
      <c r="S15" s="154"/>
      <c r="T15" s="152"/>
      <c r="U15" s="152"/>
      <c r="V15" s="445"/>
    </row>
    <row r="16" spans="1:22" x14ac:dyDescent="0.2">
      <c r="A16" s="196"/>
      <c r="B16" s="307" t="s">
        <v>458</v>
      </c>
      <c r="C16" s="307">
        <f>COUNTIFS('Project Data'!$E:$E, 'Project Data_summary'!B16, 'Project Data'!$H:$H, 'Project Data_summary'!$C$5)</f>
        <v>1</v>
      </c>
      <c r="D16" s="307">
        <f>COUNTIFS('Project Data'!$E:$E, 'Project Data_summary'!B16, 'Project Data'!$H:$H, 'Project Data_summary'!$D$5)</f>
        <v>0</v>
      </c>
      <c r="E16" s="307">
        <f>COUNTIFS('Project Data'!$E:$E, 'Project Data_summary'!B16, 'Project Data'!$H:$H, 'Project Data_summary'!$E$5)</f>
        <v>0</v>
      </c>
      <c r="F16" s="307">
        <f>COUNTIFS('Project Data'!$E:$E, 'Project Data_summary'!B16, 'Project Data'!$H:$H, 'Project Data_summary'!$F$5)</f>
        <v>0</v>
      </c>
      <c r="G16" s="307">
        <f t="shared" si="0"/>
        <v>1</v>
      </c>
      <c r="H16" s="152"/>
      <c r="I16" s="152"/>
      <c r="J16" s="152"/>
      <c r="K16" s="152"/>
      <c r="L16" s="152"/>
      <c r="M16" s="152"/>
      <c r="N16" s="152"/>
      <c r="O16" s="152"/>
      <c r="P16" s="152"/>
      <c r="Q16" s="152"/>
      <c r="R16" s="152"/>
      <c r="S16" s="154"/>
      <c r="T16" s="152"/>
      <c r="U16" s="152"/>
      <c r="V16" s="445"/>
    </row>
    <row r="17" spans="1:22" x14ac:dyDescent="0.2">
      <c r="A17" s="196"/>
      <c r="B17" s="307" t="s">
        <v>1913</v>
      </c>
      <c r="C17" s="307">
        <f>COUNTIFS('Project Data'!$E:$E, 'Project Data_summary'!B17, 'Project Data'!$H:$H, 'Project Data_summary'!$C$5)</f>
        <v>0</v>
      </c>
      <c r="D17" s="307">
        <f>COUNTIFS('Project Data'!$E:$E, 'Project Data_summary'!B17, 'Project Data'!$H:$H, 'Project Data_summary'!$D$5)</f>
        <v>1</v>
      </c>
      <c r="E17" s="307">
        <f>COUNTIFS('Project Data'!$E:$E, 'Project Data_summary'!B17, 'Project Data'!$H:$H, 'Project Data_summary'!$E$5)</f>
        <v>0</v>
      </c>
      <c r="F17" s="307">
        <f>COUNTIFS('Project Data'!$E:$E, 'Project Data_summary'!B17, 'Project Data'!$H:$H, 'Project Data_summary'!$F$5)</f>
        <v>0</v>
      </c>
      <c r="G17" s="307">
        <f t="shared" si="0"/>
        <v>1</v>
      </c>
      <c r="H17" s="152"/>
      <c r="I17" s="152"/>
      <c r="J17" s="152"/>
      <c r="K17" s="152"/>
      <c r="L17" s="152"/>
      <c r="M17" s="152"/>
      <c r="N17" s="152"/>
      <c r="O17" s="152"/>
      <c r="P17" s="152"/>
      <c r="Q17" s="152"/>
      <c r="R17" s="152"/>
      <c r="S17" s="154"/>
      <c r="T17" s="152"/>
      <c r="U17" s="152"/>
      <c r="V17" s="445"/>
    </row>
    <row r="18" spans="1:22" x14ac:dyDescent="0.2">
      <c r="A18" s="196"/>
      <c r="B18" s="307" t="s">
        <v>2286</v>
      </c>
      <c r="C18" s="307">
        <f>COUNTIFS('Project Data'!$E:$E, 'Project Data_summary'!B18, 'Project Data'!$H:$H, 'Project Data_summary'!$C$5)</f>
        <v>0</v>
      </c>
      <c r="D18" s="307">
        <f>COUNTIFS('Project Data'!$E:$E, 'Project Data_summary'!B18, 'Project Data'!$H:$H, 'Project Data_summary'!$D$5)</f>
        <v>0</v>
      </c>
      <c r="E18" s="307">
        <f>COUNTIFS('Project Data'!$E:$E, 'Project Data_summary'!B18, 'Project Data'!$H:$H, 'Project Data_summary'!$E$5)</f>
        <v>1</v>
      </c>
      <c r="F18" s="307">
        <f>COUNTIFS('Project Data'!$E:$E, 'Project Data_summary'!B18, 'Project Data'!$H:$H, 'Project Data_summary'!$F$5)</f>
        <v>0</v>
      </c>
      <c r="G18" s="307">
        <f>SUM(C18:F18)</f>
        <v>1</v>
      </c>
      <c r="H18" s="152"/>
      <c r="I18" s="152"/>
      <c r="J18" s="152"/>
      <c r="K18" s="152"/>
      <c r="L18" s="152"/>
      <c r="M18" s="152"/>
      <c r="N18" s="152"/>
      <c r="O18" s="152"/>
      <c r="P18" s="152"/>
      <c r="Q18" s="152"/>
      <c r="R18" s="152"/>
      <c r="S18" s="154"/>
      <c r="T18" s="152"/>
      <c r="U18" s="152"/>
      <c r="V18" s="445"/>
    </row>
    <row r="19" spans="1:22" x14ac:dyDescent="0.2">
      <c r="A19" s="196"/>
      <c r="B19" s="307" t="s">
        <v>2306</v>
      </c>
      <c r="C19" s="307">
        <f>COUNTIFS('Project Data'!$E:$E, 'Project Data_summary'!B19, 'Project Data'!$H:$H, 'Project Data_summary'!$C$5)</f>
        <v>0</v>
      </c>
      <c r="D19" s="307">
        <f>COUNTIFS('Project Data'!$E:$E, 'Project Data_summary'!B19, 'Project Data'!$H:$H, 'Project Data_summary'!$D$5)</f>
        <v>1</v>
      </c>
      <c r="E19" s="307">
        <f>COUNTIFS('Project Data'!$E:$E, 'Project Data_summary'!B19, 'Project Data'!$H:$H, 'Project Data_summary'!$E$5)</f>
        <v>0</v>
      </c>
      <c r="F19" s="307">
        <f>COUNTIFS('Project Data'!$E:$E, 'Project Data_summary'!B19, 'Project Data'!$H:$H, 'Project Data_summary'!$F$5)</f>
        <v>0</v>
      </c>
      <c r="G19" s="307">
        <f t="shared" ref="G19" si="2">SUM(C19:F19)</f>
        <v>1</v>
      </c>
      <c r="H19" s="152"/>
      <c r="I19" s="152"/>
      <c r="J19" s="152"/>
      <c r="K19" s="152"/>
      <c r="L19" s="152"/>
      <c r="M19" s="152"/>
      <c r="N19" s="152"/>
      <c r="O19" s="152"/>
      <c r="P19" s="152"/>
      <c r="Q19" s="152"/>
      <c r="R19" s="152"/>
      <c r="S19" s="154"/>
      <c r="T19" s="152"/>
      <c r="U19" s="152"/>
      <c r="V19" s="445"/>
    </row>
    <row r="20" spans="1:22" x14ac:dyDescent="0.2">
      <c r="A20" s="196"/>
      <c r="B20" s="307" t="s">
        <v>771</v>
      </c>
      <c r="C20" s="307">
        <f>COUNTIFS('Project Data'!$E:$E, 'Project Data_summary'!B20, 'Project Data'!$H:$H, 'Project Data_summary'!$C$5)</f>
        <v>0</v>
      </c>
      <c r="D20" s="307">
        <f>COUNTIFS('Project Data'!$E:$E, 'Project Data_summary'!B20, 'Project Data'!$H:$H, 'Project Data_summary'!$D$5)</f>
        <v>0</v>
      </c>
      <c r="E20" s="307">
        <f>COUNTIFS('Project Data'!$E:$E, 'Project Data_summary'!B20, 'Project Data'!$H:$H, 'Project Data_summary'!$E$5)</f>
        <v>0</v>
      </c>
      <c r="F20" s="307">
        <f>COUNTIFS('Project Data'!$E:$E, 'Project Data_summary'!B20, 'Project Data'!$H:$H, 'Project Data_summary'!$F$5)</f>
        <v>0</v>
      </c>
      <c r="G20" s="307">
        <f t="shared" si="0"/>
        <v>0</v>
      </c>
      <c r="H20" s="152"/>
      <c r="I20" s="152"/>
      <c r="J20" s="152"/>
      <c r="K20" s="152"/>
      <c r="L20" s="152"/>
      <c r="M20" s="152"/>
      <c r="N20" s="152"/>
      <c r="O20" s="152"/>
      <c r="P20" s="152"/>
      <c r="Q20" s="152"/>
      <c r="R20" s="152"/>
      <c r="S20" s="154"/>
      <c r="T20" s="152"/>
      <c r="U20" s="152"/>
      <c r="V20" s="445"/>
    </row>
    <row r="21" spans="1:22" x14ac:dyDescent="0.2">
      <c r="A21" s="196"/>
      <c r="B21" s="307" t="s">
        <v>542</v>
      </c>
      <c r="C21" s="307">
        <f>COUNTIFS('Project Data'!$E:$E, 'Project Data_summary'!B21, 'Project Data'!$H:$H, 'Project Data_summary'!$C$5)</f>
        <v>0</v>
      </c>
      <c r="D21" s="307">
        <f>COUNTIFS('Project Data'!$E:$E, 'Project Data_summary'!B21, 'Project Data'!$H:$H, 'Project Data_summary'!$D$5)</f>
        <v>0</v>
      </c>
      <c r="E21" s="307">
        <f>COUNTIFS('Project Data'!$E:$E, 'Project Data_summary'!B21, 'Project Data'!$H:$H, 'Project Data_summary'!$E$5)</f>
        <v>0</v>
      </c>
      <c r="F21" s="307">
        <f>COUNTIFS('Project Data'!$E:$E, 'Project Data_summary'!B21, 'Project Data'!$H:$H, 'Project Data_summary'!$F$5)</f>
        <v>0</v>
      </c>
      <c r="G21" s="307">
        <f t="shared" si="0"/>
        <v>0</v>
      </c>
      <c r="H21" s="152"/>
      <c r="I21" s="152"/>
      <c r="J21" s="152"/>
      <c r="K21" s="152"/>
      <c r="L21" s="152"/>
      <c r="M21" s="152"/>
      <c r="N21" s="152"/>
      <c r="O21" s="152"/>
      <c r="P21" s="152"/>
      <c r="Q21" s="152"/>
      <c r="R21" s="152"/>
      <c r="S21" s="154"/>
      <c r="T21" s="152"/>
      <c r="U21" s="152"/>
      <c r="V21" s="445"/>
    </row>
    <row r="22" spans="1:22" x14ac:dyDescent="0.2">
      <c r="A22" s="196"/>
      <c r="B22" s="307" t="s">
        <v>207</v>
      </c>
      <c r="C22" s="307">
        <f>COUNTIFS('Project Data'!$E:$E, 'Project Data_summary'!B22, 'Project Data'!$H:$H, 'Project Data_summary'!$C$5)</f>
        <v>0</v>
      </c>
      <c r="D22" s="307">
        <f>COUNTIFS('Project Data'!$E:$E, 'Project Data_summary'!B22, 'Project Data'!$H:$H, 'Project Data_summary'!$D$5)</f>
        <v>0</v>
      </c>
      <c r="E22" s="307">
        <f>COUNTIFS('Project Data'!$E:$E, 'Project Data_summary'!B22, 'Project Data'!$H:$H, 'Project Data_summary'!$E$5)</f>
        <v>0</v>
      </c>
      <c r="F22" s="307">
        <f>COUNTIFS('Project Data'!$E:$E, 'Project Data_summary'!B22, 'Project Data'!$H:$H, 'Project Data_summary'!$F$5)</f>
        <v>0</v>
      </c>
      <c r="G22" s="307">
        <f t="shared" si="0"/>
        <v>0</v>
      </c>
      <c r="H22" s="152"/>
      <c r="I22" s="152"/>
      <c r="J22" s="152"/>
      <c r="K22" s="152"/>
      <c r="L22" s="152"/>
      <c r="M22" s="152"/>
      <c r="N22" s="152"/>
      <c r="O22" s="152"/>
      <c r="P22" s="152"/>
      <c r="Q22" s="152"/>
      <c r="R22" s="152"/>
      <c r="S22" s="154"/>
      <c r="T22" s="152"/>
      <c r="U22" s="152"/>
      <c r="V22" s="445"/>
    </row>
    <row r="23" spans="1:22" x14ac:dyDescent="0.2">
      <c r="A23" s="196"/>
      <c r="B23" s="308" t="s">
        <v>1914</v>
      </c>
      <c r="C23" s="308">
        <f>SUM(C6:C22)</f>
        <v>44</v>
      </c>
      <c r="D23" s="308">
        <f>SUM(D6:D22)</f>
        <v>18</v>
      </c>
      <c r="E23" s="308">
        <f>SUM(E6:E22)</f>
        <v>1</v>
      </c>
      <c r="F23" s="308">
        <f>SUM(F6:F22)</f>
        <v>1</v>
      </c>
      <c r="G23" s="308">
        <f>IF(SUM(C23:F23) = SUM(G6:G22), SUM(G6:G22), "NA")</f>
        <v>64</v>
      </c>
      <c r="H23" s="152"/>
      <c r="I23" s="152"/>
      <c r="J23" s="152"/>
      <c r="K23" s="152"/>
      <c r="L23" s="152"/>
      <c r="M23" s="152"/>
      <c r="N23" s="152"/>
      <c r="O23" s="152"/>
      <c r="P23" s="152"/>
      <c r="Q23" s="152"/>
      <c r="R23" s="152"/>
      <c r="S23" s="154"/>
      <c r="T23" s="152"/>
      <c r="U23" s="152"/>
      <c r="V23" s="445"/>
    </row>
    <row r="24" spans="1:22" x14ac:dyDescent="0.2">
      <c r="A24" s="196"/>
      <c r="B24" s="152"/>
      <c r="C24" s="152"/>
      <c r="D24" s="152"/>
      <c r="E24" s="152"/>
      <c r="F24" s="152"/>
      <c r="G24" s="152"/>
      <c r="H24" s="152"/>
      <c r="I24" s="152"/>
      <c r="J24" s="152"/>
      <c r="K24" s="152"/>
      <c r="L24" s="152"/>
      <c r="M24" s="152"/>
      <c r="N24" s="152"/>
      <c r="O24" s="152"/>
      <c r="P24" s="152"/>
      <c r="Q24" s="152"/>
      <c r="R24" s="152"/>
      <c r="S24" s="152"/>
      <c r="T24" s="154"/>
      <c r="U24" s="152"/>
      <c r="V24" s="445"/>
    </row>
    <row r="25" spans="1:22" x14ac:dyDescent="0.2">
      <c r="A25" s="196"/>
      <c r="B25" s="152"/>
      <c r="C25" s="152"/>
      <c r="D25" s="152"/>
      <c r="E25" s="152"/>
      <c r="F25" s="152"/>
      <c r="G25" s="152"/>
      <c r="H25" s="152"/>
      <c r="I25" s="152"/>
      <c r="J25" s="152"/>
      <c r="K25" s="152"/>
      <c r="L25" s="152"/>
      <c r="M25" s="152"/>
      <c r="N25" s="152"/>
      <c r="O25" s="152"/>
      <c r="P25" s="152"/>
      <c r="Q25" s="152"/>
      <c r="R25" s="152"/>
      <c r="S25" s="152"/>
      <c r="T25" s="152"/>
      <c r="U25" s="152"/>
      <c r="V25" s="445"/>
    </row>
    <row r="26" spans="1:22" ht="19.5" x14ac:dyDescent="0.3">
      <c r="A26" s="196"/>
      <c r="B26" s="309" t="s">
        <v>1089</v>
      </c>
      <c r="C26" s="310"/>
      <c r="D26" s="310"/>
      <c r="E26" s="310"/>
      <c r="F26" s="310"/>
      <c r="G26" s="311"/>
      <c r="H26" s="312"/>
      <c r="I26" s="312"/>
      <c r="J26" s="313"/>
      <c r="K26" s="312"/>
      <c r="L26" s="312"/>
      <c r="M26" s="312"/>
      <c r="N26" s="312"/>
      <c r="O26" s="312"/>
      <c r="P26" s="312"/>
      <c r="Q26" s="312"/>
      <c r="R26" s="312"/>
      <c r="S26" s="312"/>
      <c r="T26" s="312"/>
      <c r="U26" s="314"/>
      <c r="V26" s="445"/>
    </row>
    <row r="27" spans="1:22" x14ac:dyDescent="0.2">
      <c r="A27" s="196"/>
      <c r="B27" s="308"/>
      <c r="C27" s="315">
        <v>2013</v>
      </c>
      <c r="D27" s="315">
        <v>2014</v>
      </c>
      <c r="E27" s="315">
        <v>2015</v>
      </c>
      <c r="F27" s="315">
        <v>2016</v>
      </c>
      <c r="G27" s="315">
        <v>2017</v>
      </c>
      <c r="H27" s="315">
        <v>2018</v>
      </c>
      <c r="I27" s="315">
        <v>2019</v>
      </c>
      <c r="J27" s="315">
        <v>2020</v>
      </c>
      <c r="K27" s="315">
        <v>2021</v>
      </c>
      <c r="L27" s="315">
        <v>2022</v>
      </c>
      <c r="M27" s="315">
        <v>2023</v>
      </c>
      <c r="N27" s="315">
        <v>2024</v>
      </c>
      <c r="O27" s="315">
        <v>2025</v>
      </c>
      <c r="P27" s="315">
        <v>2026</v>
      </c>
      <c r="Q27" s="315">
        <v>2027</v>
      </c>
      <c r="R27" s="315">
        <v>2028</v>
      </c>
      <c r="S27" s="315">
        <v>2029</v>
      </c>
      <c r="T27" s="315">
        <v>2030</v>
      </c>
      <c r="U27" s="315" t="s">
        <v>770</v>
      </c>
      <c r="V27" s="445"/>
    </row>
    <row r="28" spans="1:22" x14ac:dyDescent="0.2">
      <c r="A28" s="196"/>
      <c r="B28" s="307" t="s">
        <v>403</v>
      </c>
      <c r="C28" s="321">
        <f>SUMIF('Project Data'!$E:$E, 'Project Data_summary'!B28, 'Project Data'!$AL:$AL)</f>
        <v>0</v>
      </c>
      <c r="D28" s="321">
        <f>SUMIF('Project Data'!$E:$E, 'Project Data_summary'!B28, 'Project Data'!AM:AM)</f>
        <v>127</v>
      </c>
      <c r="E28" s="321">
        <f>SUMIF('Project Data'!$E:$E, 'Project Data_summary'!B28, 'Project Data'!AN:AN)</f>
        <v>718</v>
      </c>
      <c r="F28" s="321">
        <f>SUMIF('Project Data'!$E:$E, 'Project Data_summary'!B28, 'Project Data'!AO:AO)</f>
        <v>1205</v>
      </c>
      <c r="G28" s="321">
        <f>SUMIF('Project Data'!$E:$E, 'Project Data_summary'!B28, 'Project Data'!AP:AP)</f>
        <v>19326</v>
      </c>
      <c r="H28" s="321">
        <f>SUMIF('Project Data'!$E:$E, 'Project Data_summary'!B28, 'Project Data'!AQ:AQ)</f>
        <v>165845</v>
      </c>
      <c r="I28" s="321">
        <f>SUMIF('Project Data'!$E:$E, 'Project Data_summary'!B28, 'Project Data'!AR:AR)</f>
        <v>216456</v>
      </c>
      <c r="J28" s="321">
        <f>SUMIF('Project Data'!$E:$E, 'Project Data_summary'!B28, 'Project Data'!AS:AS)</f>
        <v>217126</v>
      </c>
      <c r="K28" s="321">
        <f>SUMIF('Project Data'!$E:$E, 'Project Data_summary'!B28, 'Project Data'!AT:AT)</f>
        <v>25365</v>
      </c>
      <c r="L28" s="321">
        <f>SUMIF('Project Data'!$E:$E, 'Project Data_summary'!B28, 'Project Data'!AU:AU)</f>
        <v>25319</v>
      </c>
      <c r="M28" s="321">
        <f>SUMIF('Project Data'!$E:$E, 'Project Data_summary'!B28, 'Project Data'!AV:AV)</f>
        <v>25316</v>
      </c>
      <c r="N28" s="321">
        <f>SUMIF('Project Data'!$E:$E, 'Project Data_summary'!B28, 'Project Data'!AW:AW)</f>
        <v>25362</v>
      </c>
      <c r="O28" s="321">
        <f>SUMIF('Project Data'!$E:$E, 'Project Data_summary'!B28, 'Project Data'!AX:AX)</f>
        <v>24869</v>
      </c>
      <c r="P28" s="321">
        <f>SUMIF('Project Data'!$E:$E, 'Project Data_summary'!B28, 'Project Data'!AY:AY)</f>
        <v>22003</v>
      </c>
      <c r="Q28" s="321">
        <f>SUMIF('Project Data'!$E:$E, 'Project Data_summary'!B28, 'Project Data'!AZ:AZ)</f>
        <v>1429</v>
      </c>
      <c r="R28" s="321">
        <f>SUMIF('Project Data'!$E:$E, 'Project Data_summary'!B28, 'Project Data'!BA:BA)</f>
        <v>1015</v>
      </c>
      <c r="S28" s="321">
        <f>SUMIF('Project Data'!$E:$E, 'Project Data_summary'!B28, 'Project Data'!BB:BB)</f>
        <v>917</v>
      </c>
      <c r="T28" s="321">
        <f>SUMIF('Project Data'!$E:$E, 'Project Data_summary'!B28, 'Project Data'!BC:BC)</f>
        <v>917</v>
      </c>
      <c r="U28" s="321">
        <f>SUM(C28:T28)</f>
        <v>773315</v>
      </c>
      <c r="V28" s="445"/>
    </row>
    <row r="29" spans="1:22" x14ac:dyDescent="0.2">
      <c r="A29" s="198"/>
      <c r="B29" s="307" t="s">
        <v>630</v>
      </c>
      <c r="C29" s="321">
        <f>SUMIF('Project Data'!$E:$E, 'Project Data_summary'!B29, 'Project Data'!$AL:$AL)</f>
        <v>0</v>
      </c>
      <c r="D29" s="321">
        <f>SUMIF('Project Data'!$E:$E, 'Project Data_summary'!B29, 'Project Data'!AM:AM)</f>
        <v>0</v>
      </c>
      <c r="E29" s="321">
        <f>SUMIF('Project Data'!$E:$E, 'Project Data_summary'!B29, 'Project Data'!AN:AN)</f>
        <v>357</v>
      </c>
      <c r="F29" s="321">
        <f>SUMIF('Project Data'!$E:$E, 'Project Data_summary'!B29, 'Project Data'!AO:AO)</f>
        <v>1999</v>
      </c>
      <c r="G29" s="321">
        <f>SUMIF('Project Data'!$E:$E, 'Project Data_summary'!B29, 'Project Data'!AP:AP)</f>
        <v>6282</v>
      </c>
      <c r="H29" s="321">
        <f>SUMIF('Project Data'!$E:$E, 'Project Data_summary'!B29, 'Project Data'!AQ:AQ)</f>
        <v>16125</v>
      </c>
      <c r="I29" s="321">
        <f>SUMIF('Project Data'!$E:$E, 'Project Data_summary'!B29, 'Project Data'!AR:AR)</f>
        <v>17618</v>
      </c>
      <c r="J29" s="321">
        <f>SUMIF('Project Data'!$E:$E, 'Project Data_summary'!B29, 'Project Data'!AS:AS)</f>
        <v>17618</v>
      </c>
      <c r="K29" s="321">
        <f>SUMIF('Project Data'!$E:$E, 'Project Data_summary'!B29, 'Project Data'!AT:AT)</f>
        <v>0</v>
      </c>
      <c r="L29" s="321">
        <f>SUMIF('Project Data'!$E:$E, 'Project Data_summary'!B29, 'Project Data'!AU:AU)</f>
        <v>0</v>
      </c>
      <c r="M29" s="321">
        <f>SUMIF('Project Data'!$E:$E, 'Project Data_summary'!B29, 'Project Data'!AV:AV)</f>
        <v>0</v>
      </c>
      <c r="N29" s="321">
        <f>SUMIF('Project Data'!$E:$E, 'Project Data_summary'!B29, 'Project Data'!AW:AW)</f>
        <v>0</v>
      </c>
      <c r="O29" s="321">
        <f>SUMIF('Project Data'!$E:$E, 'Project Data_summary'!B29, 'Project Data'!AX:AX)</f>
        <v>0</v>
      </c>
      <c r="P29" s="321">
        <f>SUMIF('Project Data'!$E:$E, 'Project Data_summary'!B29, 'Project Data'!AY:AY)</f>
        <v>0</v>
      </c>
      <c r="Q29" s="321">
        <f>SUMIF('Project Data'!$E:$E, 'Project Data_summary'!B29, 'Project Data'!AZ:AZ)</f>
        <v>0</v>
      </c>
      <c r="R29" s="321">
        <f>SUMIF('Project Data'!$E:$E, 'Project Data_summary'!B29, 'Project Data'!BA:BA)</f>
        <v>0</v>
      </c>
      <c r="S29" s="321">
        <f>SUMIF('Project Data'!$E:$E, 'Project Data_summary'!B29, 'Project Data'!BB:BB)</f>
        <v>0</v>
      </c>
      <c r="T29" s="321">
        <f>SUMIF('Project Data'!$E:$E, 'Project Data_summary'!B29, 'Project Data'!BC:BC)</f>
        <v>0</v>
      </c>
      <c r="U29" s="321">
        <f t="shared" ref="U29:U44" si="3">SUM(C29:T29)</f>
        <v>59999</v>
      </c>
      <c r="V29" s="445"/>
    </row>
    <row r="30" spans="1:22" x14ac:dyDescent="0.2">
      <c r="A30" s="198"/>
      <c r="B30" s="307" t="s">
        <v>560</v>
      </c>
      <c r="C30" s="321">
        <f>SUMIF('Project Data'!$E:$E, 'Project Data_summary'!B30, 'Project Data'!$AL:$AL)</f>
        <v>0</v>
      </c>
      <c r="D30" s="321">
        <f>SUMIF('Project Data'!$E:$E, 'Project Data_summary'!B30, 'Project Data'!AM:AM)</f>
        <v>0</v>
      </c>
      <c r="E30" s="321">
        <f>SUMIF('Project Data'!$E:$E, 'Project Data_summary'!B30, 'Project Data'!AN:AN)</f>
        <v>0</v>
      </c>
      <c r="F30" s="321">
        <f>SUMIF('Project Data'!$E:$E, 'Project Data_summary'!B30, 'Project Data'!AO:AO)</f>
        <v>242</v>
      </c>
      <c r="G30" s="321">
        <f>SUMIF('Project Data'!$E:$E, 'Project Data_summary'!B30, 'Project Data'!AP:AP)</f>
        <v>3720</v>
      </c>
      <c r="H30" s="321">
        <f>SUMIF('Project Data'!$E:$E, 'Project Data_summary'!B30, 'Project Data'!AQ:AQ)</f>
        <v>34478</v>
      </c>
      <c r="I30" s="321">
        <f>SUMIF('Project Data'!$E:$E, 'Project Data_summary'!B30, 'Project Data'!AR:AR)</f>
        <v>49208</v>
      </c>
      <c r="J30" s="321">
        <f>SUMIF('Project Data'!$E:$E, 'Project Data_summary'!B30, 'Project Data'!AS:AS)</f>
        <v>49208</v>
      </c>
      <c r="K30" s="321">
        <f>SUMIF('Project Data'!$E:$E, 'Project Data_summary'!B30, 'Project Data'!AT:AT)</f>
        <v>48717</v>
      </c>
      <c r="L30" s="321">
        <f>SUMIF('Project Data'!$E:$E, 'Project Data_summary'!B30, 'Project Data'!AU:AU)</f>
        <v>48717</v>
      </c>
      <c r="M30" s="321">
        <f>SUMIF('Project Data'!$E:$E, 'Project Data_summary'!B30, 'Project Data'!AV:AV)</f>
        <v>48359</v>
      </c>
      <c r="N30" s="321">
        <f>SUMIF('Project Data'!$E:$E, 'Project Data_summary'!B30, 'Project Data'!AW:AW)</f>
        <v>48327</v>
      </c>
      <c r="O30" s="321">
        <f>SUMIF('Project Data'!$E:$E, 'Project Data_summary'!B30, 'Project Data'!AX:AX)</f>
        <v>45229</v>
      </c>
      <c r="P30" s="321">
        <f>SUMIF('Project Data'!$E:$E, 'Project Data_summary'!B30, 'Project Data'!AY:AY)</f>
        <v>44218</v>
      </c>
      <c r="Q30" s="321">
        <f>SUMIF('Project Data'!$E:$E, 'Project Data_summary'!B30, 'Project Data'!AZ:AZ)</f>
        <v>44120</v>
      </c>
      <c r="R30" s="321">
        <f>SUMIF('Project Data'!$E:$E, 'Project Data_summary'!B30, 'Project Data'!BA:BA)</f>
        <v>43039</v>
      </c>
      <c r="S30" s="321">
        <f>SUMIF('Project Data'!$E:$E, 'Project Data_summary'!B30, 'Project Data'!BB:BB)</f>
        <v>43039</v>
      </c>
      <c r="T30" s="321">
        <f>SUMIF('Project Data'!$E:$E, 'Project Data_summary'!B30, 'Project Data'!BC:BC)</f>
        <v>43039</v>
      </c>
      <c r="U30" s="321">
        <f t="shared" si="3"/>
        <v>593660</v>
      </c>
      <c r="V30" s="445"/>
    </row>
    <row r="31" spans="1:22" x14ac:dyDescent="0.2">
      <c r="A31" s="198"/>
      <c r="B31" s="307" t="s">
        <v>509</v>
      </c>
      <c r="C31" s="321">
        <f>SUMIF('Project Data'!$E:$E, 'Project Data_summary'!B31, 'Project Data'!$AL:$AL)</f>
        <v>0</v>
      </c>
      <c r="D31" s="321">
        <f>SUMIF('Project Data'!$E:$E, 'Project Data_summary'!B31, 'Project Data'!AM:AM)</f>
        <v>0</v>
      </c>
      <c r="E31" s="321">
        <f>SUMIF('Project Data'!$E:$E, 'Project Data_summary'!B31, 'Project Data'!AN:AN)</f>
        <v>298</v>
      </c>
      <c r="F31" s="321">
        <f>SUMIF('Project Data'!$E:$E, 'Project Data_summary'!B31, 'Project Data'!AO:AO)</f>
        <v>298</v>
      </c>
      <c r="G31" s="321">
        <f>SUMIF('Project Data'!$E:$E, 'Project Data_summary'!B31, 'Project Data'!AP:AP)</f>
        <v>12547</v>
      </c>
      <c r="H31" s="321">
        <f>SUMIF('Project Data'!$E:$E, 'Project Data_summary'!B31, 'Project Data'!AQ:AQ)</f>
        <v>23553</v>
      </c>
      <c r="I31" s="321">
        <f>SUMIF('Project Data'!$E:$E, 'Project Data_summary'!B31, 'Project Data'!AR:AR)</f>
        <v>23621</v>
      </c>
      <c r="J31" s="321">
        <f>SUMIF('Project Data'!$E:$E, 'Project Data_summary'!B31, 'Project Data'!AS:AS)</f>
        <v>23969</v>
      </c>
      <c r="K31" s="321">
        <f>SUMIF('Project Data'!$E:$E, 'Project Data_summary'!B31, 'Project Data'!AT:AT)</f>
        <v>23671</v>
      </c>
      <c r="L31" s="321">
        <f>SUMIF('Project Data'!$E:$E, 'Project Data_summary'!B31, 'Project Data'!AU:AU)</f>
        <v>23671</v>
      </c>
      <c r="M31" s="321">
        <f>SUMIF('Project Data'!$E:$E, 'Project Data_summary'!B31, 'Project Data'!AV:AV)</f>
        <v>23671</v>
      </c>
      <c r="N31" s="321">
        <f>SUMIF('Project Data'!$E:$E, 'Project Data_summary'!B31, 'Project Data'!AW:AW)</f>
        <v>23671</v>
      </c>
      <c r="O31" s="321">
        <f>SUMIF('Project Data'!$E:$E, 'Project Data_summary'!B31, 'Project Data'!AX:AX)</f>
        <v>23915</v>
      </c>
      <c r="P31" s="321">
        <f>SUMIF('Project Data'!$E:$E, 'Project Data_summary'!B31, 'Project Data'!AY:AY)</f>
        <v>23915</v>
      </c>
      <c r="Q31" s="321">
        <f>SUMIF('Project Data'!$E:$E, 'Project Data_summary'!B31, 'Project Data'!AZ:AZ)</f>
        <v>23915</v>
      </c>
      <c r="R31" s="321">
        <f>SUMIF('Project Data'!$E:$E, 'Project Data_summary'!B31, 'Project Data'!BA:BA)</f>
        <v>23915</v>
      </c>
      <c r="S31" s="321">
        <f>SUMIF('Project Data'!$E:$E, 'Project Data_summary'!B31, 'Project Data'!BB:BB)</f>
        <v>23915</v>
      </c>
      <c r="T31" s="321">
        <f>SUMIF('Project Data'!$E:$E, 'Project Data_summary'!B31, 'Project Data'!BC:BC)</f>
        <v>24009</v>
      </c>
      <c r="U31" s="321">
        <f t="shared" si="3"/>
        <v>322554</v>
      </c>
      <c r="V31" s="445"/>
    </row>
    <row r="32" spans="1:22" x14ac:dyDescent="0.2">
      <c r="A32" s="198"/>
      <c r="B32" s="307" t="s">
        <v>548</v>
      </c>
      <c r="C32" s="321">
        <f>SUMIF('Project Data'!$E:$E, 'Project Data_summary'!B32, 'Project Data'!$AL:$AL)</f>
        <v>0</v>
      </c>
      <c r="D32" s="321">
        <f>SUMIF('Project Data'!$E:$E, 'Project Data_summary'!B32, 'Project Data'!AM:AM)</f>
        <v>36</v>
      </c>
      <c r="E32" s="321">
        <f>SUMIF('Project Data'!$E:$E, 'Project Data_summary'!B32, 'Project Data'!AN:AN)</f>
        <v>259</v>
      </c>
      <c r="F32" s="321">
        <f>SUMIF('Project Data'!$E:$E, 'Project Data_summary'!B32, 'Project Data'!AO:AO)</f>
        <v>657</v>
      </c>
      <c r="G32" s="321">
        <f>SUMIF('Project Data'!$E:$E, 'Project Data_summary'!B32, 'Project Data'!AP:AP)</f>
        <v>690</v>
      </c>
      <c r="H32" s="321">
        <f>SUMIF('Project Data'!$E:$E, 'Project Data_summary'!B32, 'Project Data'!AQ:AQ)</f>
        <v>690</v>
      </c>
      <c r="I32" s="321">
        <f>SUMIF('Project Data'!$E:$E, 'Project Data_summary'!B32, 'Project Data'!AR:AR)</f>
        <v>690</v>
      </c>
      <c r="J32" s="321">
        <f>SUMIF('Project Data'!$E:$E, 'Project Data_summary'!B32, 'Project Data'!AS:AS)</f>
        <v>690</v>
      </c>
      <c r="K32" s="321">
        <f>SUMIF('Project Data'!$E:$E, 'Project Data_summary'!B32, 'Project Data'!AT:AT)</f>
        <v>0</v>
      </c>
      <c r="L32" s="321">
        <f>SUMIF('Project Data'!$E:$E, 'Project Data_summary'!B32, 'Project Data'!AU:AU)</f>
        <v>0</v>
      </c>
      <c r="M32" s="321">
        <f>SUMIF('Project Data'!$E:$E, 'Project Data_summary'!B32, 'Project Data'!AV:AV)</f>
        <v>0</v>
      </c>
      <c r="N32" s="321">
        <f>SUMIF('Project Data'!$E:$E, 'Project Data_summary'!B32, 'Project Data'!AW:AW)</f>
        <v>0</v>
      </c>
      <c r="O32" s="321">
        <f>SUMIF('Project Data'!$E:$E, 'Project Data_summary'!B32, 'Project Data'!AX:AX)</f>
        <v>0</v>
      </c>
      <c r="P32" s="321">
        <f>SUMIF('Project Data'!$E:$E, 'Project Data_summary'!B32, 'Project Data'!AY:AY)</f>
        <v>0</v>
      </c>
      <c r="Q32" s="321">
        <f>SUMIF('Project Data'!$E:$E, 'Project Data_summary'!B32, 'Project Data'!AZ:AZ)</f>
        <v>0</v>
      </c>
      <c r="R32" s="321">
        <f>SUMIF('Project Data'!$E:$E, 'Project Data_summary'!B32, 'Project Data'!BA:BA)</f>
        <v>0</v>
      </c>
      <c r="S32" s="321">
        <f>SUMIF('Project Data'!$E:$E, 'Project Data_summary'!B32, 'Project Data'!BB:BB)</f>
        <v>0</v>
      </c>
      <c r="T32" s="321">
        <f>SUMIF('Project Data'!$E:$E, 'Project Data_summary'!B32, 'Project Data'!BC:BC)</f>
        <v>0</v>
      </c>
      <c r="U32" s="321">
        <f t="shared" si="3"/>
        <v>3712</v>
      </c>
      <c r="V32" s="445"/>
    </row>
    <row r="33" spans="1:22" x14ac:dyDescent="0.2">
      <c r="A33" s="198"/>
      <c r="B33" s="307" t="s">
        <v>145</v>
      </c>
      <c r="C33" s="321">
        <f>SUMIF('Project Data'!$E:$E, 'Project Data_summary'!B33, 'Project Data'!$AL:$AL)</f>
        <v>0</v>
      </c>
      <c r="D33" s="321">
        <f>SUMIF('Project Data'!$E:$E, 'Project Data_summary'!B33, 'Project Data'!AM:AM)</f>
        <v>0</v>
      </c>
      <c r="E33" s="321">
        <f>SUMIF('Project Data'!$E:$E, 'Project Data_summary'!B33, 'Project Data'!AN:AN)</f>
        <v>0</v>
      </c>
      <c r="F33" s="321">
        <f>SUMIF('Project Data'!$E:$E, 'Project Data_summary'!B33, 'Project Data'!AO:AO)</f>
        <v>124</v>
      </c>
      <c r="G33" s="321">
        <f>SUMIF('Project Data'!$E:$E, 'Project Data_summary'!B33, 'Project Data'!AP:AP)</f>
        <v>434</v>
      </c>
      <c r="H33" s="321">
        <f>SUMIF('Project Data'!$E:$E, 'Project Data_summary'!B33, 'Project Data'!AQ:AQ)</f>
        <v>1022</v>
      </c>
      <c r="I33" s="321">
        <f>SUMIF('Project Data'!$E:$E, 'Project Data_summary'!B33, 'Project Data'!AR:AR)</f>
        <v>1241</v>
      </c>
      <c r="J33" s="321">
        <f>SUMIF('Project Data'!$E:$E, 'Project Data_summary'!B33, 'Project Data'!AS:AS)</f>
        <v>1241</v>
      </c>
      <c r="K33" s="321">
        <f>SUMIF('Project Data'!$E:$E, 'Project Data_summary'!B33, 'Project Data'!AT:AT)</f>
        <v>663</v>
      </c>
      <c r="L33" s="321">
        <f>SUMIF('Project Data'!$E:$E, 'Project Data_summary'!B33, 'Project Data'!AU:AU)</f>
        <v>663</v>
      </c>
      <c r="M33" s="321">
        <f>SUMIF('Project Data'!$E:$E, 'Project Data_summary'!B33, 'Project Data'!AV:AV)</f>
        <v>663</v>
      </c>
      <c r="N33" s="321">
        <f>SUMIF('Project Data'!$E:$E, 'Project Data_summary'!B33, 'Project Data'!AW:AW)</f>
        <v>663</v>
      </c>
      <c r="O33" s="321">
        <f>SUMIF('Project Data'!$E:$E, 'Project Data_summary'!B33, 'Project Data'!AX:AX)</f>
        <v>320</v>
      </c>
      <c r="P33" s="321">
        <f>SUMIF('Project Data'!$E:$E, 'Project Data_summary'!B33, 'Project Data'!AY:AY)</f>
        <v>0</v>
      </c>
      <c r="Q33" s="321">
        <f>SUMIF('Project Data'!$E:$E, 'Project Data_summary'!B33, 'Project Data'!AZ:AZ)</f>
        <v>0</v>
      </c>
      <c r="R33" s="321">
        <f>SUMIF('Project Data'!$E:$E, 'Project Data_summary'!B33, 'Project Data'!BA:BA)</f>
        <v>0</v>
      </c>
      <c r="S33" s="321">
        <f>SUMIF('Project Data'!$E:$E, 'Project Data_summary'!B33, 'Project Data'!BB:BB)</f>
        <v>0</v>
      </c>
      <c r="T33" s="321">
        <f>SUMIF('Project Data'!$E:$E, 'Project Data_summary'!B33, 'Project Data'!BC:BC)</f>
        <v>0</v>
      </c>
      <c r="U33" s="321">
        <f t="shared" si="3"/>
        <v>7034</v>
      </c>
      <c r="V33" s="445"/>
    </row>
    <row r="34" spans="1:22" x14ac:dyDescent="0.2">
      <c r="A34" s="198"/>
      <c r="B34" s="307" t="s">
        <v>553</v>
      </c>
      <c r="C34" s="321">
        <f>SUMIF('Project Data'!$E:$E, 'Project Data_summary'!B34, 'Project Data'!$AL:$AL)</f>
        <v>0</v>
      </c>
      <c r="D34" s="321">
        <f>SUMIF('Project Data'!$E:$E, 'Project Data_summary'!B34, 'Project Data'!AM:AM)</f>
        <v>0</v>
      </c>
      <c r="E34" s="321">
        <f>SUMIF('Project Data'!$E:$E, 'Project Data_summary'!B34, 'Project Data'!AN:AN)</f>
        <v>0</v>
      </c>
      <c r="F34" s="321">
        <f>SUMIF('Project Data'!$E:$E, 'Project Data_summary'!B34, 'Project Data'!AO:AO)</f>
        <v>0</v>
      </c>
      <c r="G34" s="321">
        <f>SUMIF('Project Data'!$E:$E, 'Project Data_summary'!B34, 'Project Data'!AP:AP)</f>
        <v>3073</v>
      </c>
      <c r="H34" s="321">
        <f>SUMIF('Project Data'!$E:$E, 'Project Data_summary'!B34, 'Project Data'!AQ:AQ)</f>
        <v>3289</v>
      </c>
      <c r="I34" s="321">
        <f>SUMIF('Project Data'!$E:$E, 'Project Data_summary'!B34, 'Project Data'!AR:AR)</f>
        <v>3289</v>
      </c>
      <c r="J34" s="321">
        <f>SUMIF('Project Data'!$E:$E, 'Project Data_summary'!B34, 'Project Data'!AS:AS)</f>
        <v>3289</v>
      </c>
      <c r="K34" s="321">
        <f>SUMIF('Project Data'!$E:$E, 'Project Data_summary'!B34, 'Project Data'!AT:AT)</f>
        <v>3289</v>
      </c>
      <c r="L34" s="321">
        <f>SUMIF('Project Data'!$E:$E, 'Project Data_summary'!B34, 'Project Data'!AU:AU)</f>
        <v>216</v>
      </c>
      <c r="M34" s="321">
        <f>SUMIF('Project Data'!$E:$E, 'Project Data_summary'!B34, 'Project Data'!AV:AV)</f>
        <v>0</v>
      </c>
      <c r="N34" s="321">
        <f>SUMIF('Project Data'!$E:$E, 'Project Data_summary'!B34, 'Project Data'!AW:AW)</f>
        <v>0</v>
      </c>
      <c r="O34" s="321">
        <f>SUMIF('Project Data'!$E:$E, 'Project Data_summary'!B34, 'Project Data'!AX:AX)</f>
        <v>0</v>
      </c>
      <c r="P34" s="321">
        <f>SUMIF('Project Data'!$E:$E, 'Project Data_summary'!B34, 'Project Data'!AY:AY)</f>
        <v>0</v>
      </c>
      <c r="Q34" s="321">
        <f>SUMIF('Project Data'!$E:$E, 'Project Data_summary'!B34, 'Project Data'!AZ:AZ)</f>
        <v>0</v>
      </c>
      <c r="R34" s="321">
        <f>SUMIF('Project Data'!$E:$E, 'Project Data_summary'!B34, 'Project Data'!BA:BA)</f>
        <v>0</v>
      </c>
      <c r="S34" s="321">
        <f>SUMIF('Project Data'!$E:$E, 'Project Data_summary'!B34, 'Project Data'!BB:BB)</f>
        <v>0</v>
      </c>
      <c r="T34" s="321">
        <f>SUMIF('Project Data'!$E:$E, 'Project Data_summary'!B34, 'Project Data'!BC:BC)</f>
        <v>0</v>
      </c>
      <c r="U34" s="321">
        <f t="shared" si="3"/>
        <v>16445</v>
      </c>
      <c r="V34" s="445"/>
    </row>
    <row r="35" spans="1:22" x14ac:dyDescent="0.2">
      <c r="A35" s="198"/>
      <c r="B35" s="307" t="s">
        <v>536</v>
      </c>
      <c r="C35" s="321">
        <f>SUMIF('Project Data'!$E:$E, 'Project Data_summary'!B35, 'Project Data'!$AL:$AL)</f>
        <v>0</v>
      </c>
      <c r="D35" s="321">
        <f>SUMIF('Project Data'!$E:$E, 'Project Data_summary'!B35, 'Project Data'!AM:AM)</f>
        <v>0</v>
      </c>
      <c r="E35" s="321">
        <f>SUMIF('Project Data'!$E:$E, 'Project Data_summary'!B35, 'Project Data'!AN:AN)</f>
        <v>0</v>
      </c>
      <c r="F35" s="321">
        <f>SUMIF('Project Data'!$E:$E, 'Project Data_summary'!B35, 'Project Data'!AO:AO)</f>
        <v>0</v>
      </c>
      <c r="G35" s="321">
        <f>SUMIF('Project Data'!$E:$E, 'Project Data_summary'!B35, 'Project Data'!AP:AP)</f>
        <v>49</v>
      </c>
      <c r="H35" s="321">
        <f>SUMIF('Project Data'!$E:$E, 'Project Data_summary'!B35, 'Project Data'!AQ:AQ)</f>
        <v>156</v>
      </c>
      <c r="I35" s="321">
        <f>SUMIF('Project Data'!$E:$E, 'Project Data_summary'!B35, 'Project Data'!AR:AR)</f>
        <v>156</v>
      </c>
      <c r="J35" s="321">
        <f>SUMIF('Project Data'!$E:$E, 'Project Data_summary'!B35, 'Project Data'!AS:AS)</f>
        <v>156</v>
      </c>
      <c r="K35" s="321">
        <f>SUMIF('Project Data'!$E:$E, 'Project Data_summary'!B35, 'Project Data'!AT:AT)</f>
        <v>0</v>
      </c>
      <c r="L35" s="321">
        <f>SUMIF('Project Data'!$E:$E, 'Project Data_summary'!B35, 'Project Data'!AU:AU)</f>
        <v>0</v>
      </c>
      <c r="M35" s="321">
        <f>SUMIF('Project Data'!$E:$E, 'Project Data_summary'!B35, 'Project Data'!AV:AV)</f>
        <v>0</v>
      </c>
      <c r="N35" s="321">
        <f>SUMIF('Project Data'!$E:$E, 'Project Data_summary'!B35, 'Project Data'!AW:AW)</f>
        <v>0</v>
      </c>
      <c r="O35" s="321">
        <f>SUMIF('Project Data'!$E:$E, 'Project Data_summary'!B35, 'Project Data'!AX:AX)</f>
        <v>0</v>
      </c>
      <c r="P35" s="321">
        <f>SUMIF('Project Data'!$E:$E, 'Project Data_summary'!B35, 'Project Data'!AY:AY)</f>
        <v>0</v>
      </c>
      <c r="Q35" s="321">
        <f>SUMIF('Project Data'!$E:$E, 'Project Data_summary'!B35, 'Project Data'!AZ:AZ)</f>
        <v>0</v>
      </c>
      <c r="R35" s="321">
        <f>SUMIF('Project Data'!$E:$E, 'Project Data_summary'!B35, 'Project Data'!BA:BA)</f>
        <v>0</v>
      </c>
      <c r="S35" s="321">
        <f>SUMIF('Project Data'!$E:$E, 'Project Data_summary'!B35, 'Project Data'!BB:BB)</f>
        <v>0</v>
      </c>
      <c r="T35" s="321">
        <f>SUMIF('Project Data'!$E:$E, 'Project Data_summary'!B35, 'Project Data'!BC:BC)</f>
        <v>0</v>
      </c>
      <c r="U35" s="321">
        <f t="shared" si="3"/>
        <v>517</v>
      </c>
      <c r="V35" s="445"/>
    </row>
    <row r="36" spans="1:22" x14ac:dyDescent="0.2">
      <c r="A36" s="198"/>
      <c r="B36" s="307" t="s">
        <v>458</v>
      </c>
      <c r="C36" s="321">
        <f>SUMIF('Project Data'!$E:$E, 'Project Data_summary'!B36, 'Project Data'!$AL:$AL)</f>
        <v>0</v>
      </c>
      <c r="D36" s="321">
        <f>SUMIF('Project Data'!$E:$E, 'Project Data_summary'!B36, 'Project Data'!AM:AM)</f>
        <v>0</v>
      </c>
      <c r="E36" s="321">
        <f>SUMIF('Project Data'!$E:$E, 'Project Data_summary'!B36, 'Project Data'!AN:AN)</f>
        <v>0</v>
      </c>
      <c r="F36" s="321">
        <f>SUMIF('Project Data'!$E:$E, 'Project Data_summary'!B36, 'Project Data'!AO:AO)</f>
        <v>0</v>
      </c>
      <c r="G36" s="321">
        <f>SUMIF('Project Data'!$E:$E, 'Project Data_summary'!B36, 'Project Data'!AP:AP)</f>
        <v>300</v>
      </c>
      <c r="H36" s="321">
        <f>SUMIF('Project Data'!$E:$E, 'Project Data_summary'!B36, 'Project Data'!AQ:AQ)</f>
        <v>579</v>
      </c>
      <c r="I36" s="321">
        <f>SUMIF('Project Data'!$E:$E, 'Project Data_summary'!B36, 'Project Data'!AR:AR)</f>
        <v>695</v>
      </c>
      <c r="J36" s="321">
        <f>SUMIF('Project Data'!$E:$E, 'Project Data_summary'!B36, 'Project Data'!AS:AS)</f>
        <v>695</v>
      </c>
      <c r="K36" s="321">
        <f>SUMIF('Project Data'!$E:$E, 'Project Data_summary'!B36, 'Project Data'!AT:AT)</f>
        <v>0</v>
      </c>
      <c r="L36" s="321">
        <f>SUMIF('Project Data'!$E:$E, 'Project Data_summary'!B36, 'Project Data'!AU:AU)</f>
        <v>0</v>
      </c>
      <c r="M36" s="321">
        <f>SUMIF('Project Data'!$E:$E, 'Project Data_summary'!B36, 'Project Data'!AV:AV)</f>
        <v>0</v>
      </c>
      <c r="N36" s="321">
        <f>SUMIF('Project Data'!$E:$E, 'Project Data_summary'!B36, 'Project Data'!AW:AW)</f>
        <v>0</v>
      </c>
      <c r="O36" s="321">
        <f>SUMIF('Project Data'!$E:$E, 'Project Data_summary'!B36, 'Project Data'!AX:AX)</f>
        <v>0</v>
      </c>
      <c r="P36" s="321">
        <f>SUMIF('Project Data'!$E:$E, 'Project Data_summary'!B36, 'Project Data'!AY:AY)</f>
        <v>0</v>
      </c>
      <c r="Q36" s="321">
        <f>SUMIF('Project Data'!$E:$E, 'Project Data_summary'!B36, 'Project Data'!AZ:AZ)</f>
        <v>0</v>
      </c>
      <c r="R36" s="321">
        <f>SUMIF('Project Data'!$E:$E, 'Project Data_summary'!B36, 'Project Data'!BA:BA)</f>
        <v>0</v>
      </c>
      <c r="S36" s="321">
        <f>SUMIF('Project Data'!$E:$E, 'Project Data_summary'!B36, 'Project Data'!BB:BB)</f>
        <v>0</v>
      </c>
      <c r="T36" s="321">
        <f>SUMIF('Project Data'!$E:$E, 'Project Data_summary'!B36, 'Project Data'!BC:BC)</f>
        <v>0</v>
      </c>
      <c r="U36" s="321">
        <f t="shared" si="3"/>
        <v>2269</v>
      </c>
      <c r="V36" s="445"/>
    </row>
    <row r="37" spans="1:22" x14ac:dyDescent="0.2">
      <c r="A37" s="198"/>
      <c r="B37" s="307" t="s">
        <v>444</v>
      </c>
      <c r="C37" s="321">
        <f>SUMIF('Project Data'!$E:$E, 'Project Data_summary'!B37, 'Project Data'!$AL:$AL)</f>
        <v>0</v>
      </c>
      <c r="D37" s="321">
        <f>SUMIF('Project Data'!$E:$E, 'Project Data_summary'!B37, 'Project Data'!AM:AM)</f>
        <v>0</v>
      </c>
      <c r="E37" s="321">
        <f>SUMIF('Project Data'!$E:$E, 'Project Data_summary'!B37, 'Project Data'!AN:AN)</f>
        <v>0</v>
      </c>
      <c r="F37" s="321">
        <f>SUMIF('Project Data'!$E:$E, 'Project Data_summary'!B37, 'Project Data'!AO:AO)</f>
        <v>40</v>
      </c>
      <c r="G37" s="321">
        <f>SUMIF('Project Data'!$E:$E, 'Project Data_summary'!B37, 'Project Data'!AP:AP)</f>
        <v>104</v>
      </c>
      <c r="H37" s="321">
        <f>SUMIF('Project Data'!$E:$E, 'Project Data_summary'!B37, 'Project Data'!AQ:AQ)</f>
        <v>227</v>
      </c>
      <c r="I37" s="321">
        <f>SUMIF('Project Data'!$E:$E, 'Project Data_summary'!B37, 'Project Data'!AR:AR)</f>
        <v>663</v>
      </c>
      <c r="J37" s="321">
        <f>SUMIF('Project Data'!$E:$E, 'Project Data_summary'!B37, 'Project Data'!AS:AS)</f>
        <v>663</v>
      </c>
      <c r="K37" s="321">
        <f>SUMIF('Project Data'!$E:$E, 'Project Data_summary'!B37, 'Project Data'!AT:AT)</f>
        <v>663</v>
      </c>
      <c r="L37" s="321">
        <f>SUMIF('Project Data'!$E:$E, 'Project Data_summary'!B37, 'Project Data'!AU:AU)</f>
        <v>663</v>
      </c>
      <c r="M37" s="321">
        <f>SUMIF('Project Data'!$E:$E, 'Project Data_summary'!B37, 'Project Data'!AV:AV)</f>
        <v>663</v>
      </c>
      <c r="N37" s="321">
        <f>SUMIF('Project Data'!$E:$E, 'Project Data_summary'!B37, 'Project Data'!AW:AW)</f>
        <v>663</v>
      </c>
      <c r="O37" s="321">
        <f>SUMIF('Project Data'!$E:$E, 'Project Data_summary'!B37, 'Project Data'!AX:AX)</f>
        <v>663</v>
      </c>
      <c r="P37" s="321">
        <f>SUMIF('Project Data'!$E:$E, 'Project Data_summary'!B37, 'Project Data'!AY:AY)</f>
        <v>663</v>
      </c>
      <c r="Q37" s="321">
        <f>SUMIF('Project Data'!$E:$E, 'Project Data_summary'!B37, 'Project Data'!AZ:AZ)</f>
        <v>663</v>
      </c>
      <c r="R37" s="321">
        <f>SUMIF('Project Data'!$E:$E, 'Project Data_summary'!B37, 'Project Data'!BA:BA)</f>
        <v>539</v>
      </c>
      <c r="S37" s="321">
        <f>SUMIF('Project Data'!$E:$E, 'Project Data_summary'!B37, 'Project Data'!BB:BB)</f>
        <v>104</v>
      </c>
      <c r="T37" s="321">
        <f>SUMIF('Project Data'!$E:$E, 'Project Data_summary'!B37, 'Project Data'!BC:BC)</f>
        <v>104</v>
      </c>
      <c r="U37" s="321">
        <f t="shared" si="3"/>
        <v>7085</v>
      </c>
      <c r="V37" s="445"/>
    </row>
    <row r="38" spans="1:22" x14ac:dyDescent="0.2">
      <c r="A38" s="198"/>
      <c r="B38" s="307" t="s">
        <v>771</v>
      </c>
      <c r="C38" s="321">
        <f>SUMIF('Project Data'!$E:$E, 'Project Data_summary'!B38, 'Project Data'!$AL:$AL)</f>
        <v>0</v>
      </c>
      <c r="D38" s="321">
        <f>SUMIF('Project Data'!$E:$E, 'Project Data_summary'!B38, 'Project Data'!AM:AM)</f>
        <v>0</v>
      </c>
      <c r="E38" s="321">
        <f>SUMIF('Project Data'!$E:$E, 'Project Data_summary'!B38, 'Project Data'!AN:AN)</f>
        <v>0</v>
      </c>
      <c r="F38" s="321">
        <f>SUMIF('Project Data'!$E:$E, 'Project Data_summary'!B38, 'Project Data'!AO:AO)</f>
        <v>0</v>
      </c>
      <c r="G38" s="321">
        <f>SUMIF('Project Data'!$E:$E, 'Project Data_summary'!B38, 'Project Data'!AP:AP)</f>
        <v>0</v>
      </c>
      <c r="H38" s="321">
        <f>SUMIF('Project Data'!$E:$E, 'Project Data_summary'!B38, 'Project Data'!AQ:AQ)</f>
        <v>0</v>
      </c>
      <c r="I38" s="321">
        <f>SUMIF('Project Data'!$E:$E, 'Project Data_summary'!B38, 'Project Data'!AR:AR)</f>
        <v>0</v>
      </c>
      <c r="J38" s="321">
        <f>SUMIF('Project Data'!$E:$E, 'Project Data_summary'!B38, 'Project Data'!AS:AS)</f>
        <v>0</v>
      </c>
      <c r="K38" s="321">
        <f>SUMIF('Project Data'!$E:$E, 'Project Data_summary'!B38, 'Project Data'!AT:AT)</f>
        <v>0</v>
      </c>
      <c r="L38" s="321">
        <f>SUMIF('Project Data'!$E:$E, 'Project Data_summary'!B38, 'Project Data'!AU:AU)</f>
        <v>0</v>
      </c>
      <c r="M38" s="321">
        <f>SUMIF('Project Data'!$E:$E, 'Project Data_summary'!B38, 'Project Data'!AV:AV)</f>
        <v>0</v>
      </c>
      <c r="N38" s="321">
        <f>SUMIF('Project Data'!$E:$E, 'Project Data_summary'!B38, 'Project Data'!AW:AW)</f>
        <v>0</v>
      </c>
      <c r="O38" s="321">
        <f>SUMIF('Project Data'!$E:$E, 'Project Data_summary'!B38, 'Project Data'!AX:AX)</f>
        <v>0</v>
      </c>
      <c r="P38" s="321">
        <f>SUMIF('Project Data'!$E:$E, 'Project Data_summary'!B38, 'Project Data'!AY:AY)</f>
        <v>0</v>
      </c>
      <c r="Q38" s="321">
        <f>SUMIF('Project Data'!$E:$E, 'Project Data_summary'!B38, 'Project Data'!AZ:AZ)</f>
        <v>0</v>
      </c>
      <c r="R38" s="321">
        <f>SUMIF('Project Data'!$E:$E, 'Project Data_summary'!B38, 'Project Data'!BA:BA)</f>
        <v>0</v>
      </c>
      <c r="S38" s="321">
        <f>SUMIF('Project Data'!$E:$E, 'Project Data_summary'!B38, 'Project Data'!BB:BB)</f>
        <v>0</v>
      </c>
      <c r="T38" s="321">
        <f>SUMIF('Project Data'!$E:$E, 'Project Data_summary'!B38, 'Project Data'!BC:BC)</f>
        <v>0</v>
      </c>
      <c r="U38" s="321">
        <f t="shared" si="3"/>
        <v>0</v>
      </c>
      <c r="V38" s="445"/>
    </row>
    <row r="39" spans="1:22" x14ac:dyDescent="0.2">
      <c r="A39" s="198"/>
      <c r="B39" s="307" t="s">
        <v>478</v>
      </c>
      <c r="C39" s="321">
        <f>SUMIF('Project Data'!$E:$E, 'Project Data_summary'!B39, 'Project Data'!$AL:$AL)</f>
        <v>0</v>
      </c>
      <c r="D39" s="321">
        <f>SUMIF('Project Data'!$E:$E, 'Project Data_summary'!B39, 'Project Data'!AM:AM)</f>
        <v>0</v>
      </c>
      <c r="E39" s="321">
        <f>SUMIF('Project Data'!$E:$E, 'Project Data_summary'!B39, 'Project Data'!AN:AN)</f>
        <v>0</v>
      </c>
      <c r="F39" s="321">
        <f>SUMIF('Project Data'!$E:$E, 'Project Data_summary'!B39, 'Project Data'!AO:AO)</f>
        <v>0</v>
      </c>
      <c r="G39" s="321">
        <f>SUMIF('Project Data'!$E:$E, 'Project Data_summary'!B39, 'Project Data'!AP:AP)</f>
        <v>-1933</v>
      </c>
      <c r="H39" s="321">
        <f>SUMIF('Project Data'!$E:$E, 'Project Data_summary'!B39, 'Project Data'!AQ:AQ)</f>
        <v>-1853</v>
      </c>
      <c r="I39" s="321">
        <f>SUMIF('Project Data'!$E:$E, 'Project Data_summary'!B39, 'Project Data'!AR:AR)</f>
        <v>262</v>
      </c>
      <c r="J39" s="321">
        <f>SUMIF('Project Data'!$E:$E, 'Project Data_summary'!B39, 'Project Data'!AS:AS)</f>
        <v>1833</v>
      </c>
      <c r="K39" s="321">
        <f>SUMIF('Project Data'!$E:$E, 'Project Data_summary'!B39, 'Project Data'!AT:AT)</f>
        <v>3030</v>
      </c>
      <c r="L39" s="321">
        <f>SUMIF('Project Data'!$E:$E, 'Project Data_summary'!B39, 'Project Data'!AU:AU)</f>
        <v>3970</v>
      </c>
      <c r="M39" s="321">
        <f>SUMIF('Project Data'!$E:$E, 'Project Data_summary'!B39, 'Project Data'!AV:AV)</f>
        <v>4728</v>
      </c>
      <c r="N39" s="321">
        <f>SUMIF('Project Data'!$E:$E, 'Project Data_summary'!B39, 'Project Data'!AW:AW)</f>
        <v>5359</v>
      </c>
      <c r="O39" s="321">
        <f>SUMIF('Project Data'!$E:$E, 'Project Data_summary'!B39, 'Project Data'!AX:AX)</f>
        <v>5897</v>
      </c>
      <c r="P39" s="321">
        <f>SUMIF('Project Data'!$E:$E, 'Project Data_summary'!B39, 'Project Data'!AY:AY)</f>
        <v>6367</v>
      </c>
      <c r="Q39" s="321">
        <f>SUMIF('Project Data'!$E:$E, 'Project Data_summary'!B39, 'Project Data'!AZ:AZ)</f>
        <v>6785</v>
      </c>
      <c r="R39" s="321">
        <f>SUMIF('Project Data'!$E:$E, 'Project Data_summary'!B39, 'Project Data'!BA:BA)</f>
        <v>7163</v>
      </c>
      <c r="S39" s="321">
        <f>SUMIF('Project Data'!$E:$E, 'Project Data_summary'!B39, 'Project Data'!BB:BB)</f>
        <v>7509</v>
      </c>
      <c r="T39" s="321">
        <f>SUMIF('Project Data'!$E:$E, 'Project Data_summary'!B39, 'Project Data'!BC:BC)</f>
        <v>7829</v>
      </c>
      <c r="U39" s="321">
        <f t="shared" si="3"/>
        <v>56946</v>
      </c>
      <c r="V39" s="445"/>
    </row>
    <row r="40" spans="1:22" x14ac:dyDescent="0.2">
      <c r="A40" s="198"/>
      <c r="B40" s="307" t="s">
        <v>542</v>
      </c>
      <c r="C40" s="321">
        <f>SUMIF('Project Data'!$E:$E, 'Project Data_summary'!B40, 'Project Data'!$AL:$AL)</f>
        <v>0</v>
      </c>
      <c r="D40" s="321">
        <f>SUMIF('Project Data'!$E:$E, 'Project Data_summary'!B40, 'Project Data'!AM:AM)</f>
        <v>0</v>
      </c>
      <c r="E40" s="321">
        <f>SUMIF('Project Data'!$E:$E, 'Project Data_summary'!B40, 'Project Data'!AN:AN)</f>
        <v>0</v>
      </c>
      <c r="F40" s="321">
        <f>SUMIF('Project Data'!$E:$E, 'Project Data_summary'!B40, 'Project Data'!AO:AO)</f>
        <v>0</v>
      </c>
      <c r="G40" s="321">
        <f>SUMIF('Project Data'!$E:$E, 'Project Data_summary'!B40, 'Project Data'!AP:AP)</f>
        <v>0</v>
      </c>
      <c r="H40" s="321">
        <f>SUMIF('Project Data'!$E:$E, 'Project Data_summary'!B40, 'Project Data'!AQ:AQ)</f>
        <v>0</v>
      </c>
      <c r="I40" s="321">
        <f>SUMIF('Project Data'!$E:$E, 'Project Data_summary'!B40, 'Project Data'!AR:AR)</f>
        <v>0</v>
      </c>
      <c r="J40" s="321">
        <f>SUMIF('Project Data'!$E:$E, 'Project Data_summary'!B40, 'Project Data'!AS:AS)</f>
        <v>0</v>
      </c>
      <c r="K40" s="321">
        <f>SUMIF('Project Data'!$E:$E, 'Project Data_summary'!B40, 'Project Data'!AT:AT)</f>
        <v>0</v>
      </c>
      <c r="L40" s="321">
        <f>SUMIF('Project Data'!$E:$E, 'Project Data_summary'!B40, 'Project Data'!AU:AU)</f>
        <v>0</v>
      </c>
      <c r="M40" s="321">
        <f>SUMIF('Project Data'!$E:$E, 'Project Data_summary'!B40, 'Project Data'!AV:AV)</f>
        <v>0</v>
      </c>
      <c r="N40" s="321">
        <f>SUMIF('Project Data'!$E:$E, 'Project Data_summary'!B40, 'Project Data'!AW:AW)</f>
        <v>0</v>
      </c>
      <c r="O40" s="321">
        <f>SUMIF('Project Data'!$E:$E, 'Project Data_summary'!B40, 'Project Data'!AX:AX)</f>
        <v>0</v>
      </c>
      <c r="P40" s="321">
        <f>SUMIF('Project Data'!$E:$E, 'Project Data_summary'!B40, 'Project Data'!AY:AY)</f>
        <v>0</v>
      </c>
      <c r="Q40" s="321">
        <f>SUMIF('Project Data'!$E:$E, 'Project Data_summary'!B40, 'Project Data'!AZ:AZ)</f>
        <v>0</v>
      </c>
      <c r="R40" s="321">
        <f>SUMIF('Project Data'!$E:$E, 'Project Data_summary'!B40, 'Project Data'!BA:BA)</f>
        <v>0</v>
      </c>
      <c r="S40" s="321">
        <f>SUMIF('Project Data'!$E:$E, 'Project Data_summary'!B40, 'Project Data'!BB:BB)</f>
        <v>0</v>
      </c>
      <c r="T40" s="321">
        <f>SUMIF('Project Data'!$E:$E, 'Project Data_summary'!B40, 'Project Data'!BC:BC)</f>
        <v>0</v>
      </c>
      <c r="U40" s="321">
        <f t="shared" si="3"/>
        <v>0</v>
      </c>
      <c r="V40" s="445"/>
    </row>
    <row r="41" spans="1:22" x14ac:dyDescent="0.2">
      <c r="A41" s="198"/>
      <c r="B41" s="307" t="s">
        <v>430</v>
      </c>
      <c r="C41" s="321">
        <f>SUMIF('Project Data'!$E:$E, 'Project Data_summary'!B41, 'Project Data'!$AL:$AL)</f>
        <v>0</v>
      </c>
      <c r="D41" s="321">
        <f>SUMIF('Project Data'!$E:$E, 'Project Data_summary'!B41, 'Project Data'!AM:AM)</f>
        <v>0</v>
      </c>
      <c r="E41" s="321">
        <f>SUMIF('Project Data'!$E:$E, 'Project Data_summary'!B41, 'Project Data'!AN:AN)</f>
        <v>0</v>
      </c>
      <c r="F41" s="321">
        <f>SUMIF('Project Data'!$E:$E, 'Project Data_summary'!B41, 'Project Data'!AO:AO)</f>
        <v>39</v>
      </c>
      <c r="G41" s="321">
        <f>SUMIF('Project Data'!$E:$E, 'Project Data_summary'!B41, 'Project Data'!AP:AP)</f>
        <v>786</v>
      </c>
      <c r="H41" s="321">
        <f>SUMIF('Project Data'!$E:$E, 'Project Data_summary'!B41, 'Project Data'!AQ:AQ)</f>
        <v>801</v>
      </c>
      <c r="I41" s="321">
        <f>SUMIF('Project Data'!$E:$E, 'Project Data_summary'!B41, 'Project Data'!AR:AR)</f>
        <v>858</v>
      </c>
      <c r="J41" s="321">
        <f>SUMIF('Project Data'!$E:$E, 'Project Data_summary'!B41, 'Project Data'!AS:AS)</f>
        <v>852</v>
      </c>
      <c r="K41" s="321">
        <f>SUMIF('Project Data'!$E:$E, 'Project Data_summary'!B41, 'Project Data'!AT:AT)</f>
        <v>82</v>
      </c>
      <c r="L41" s="321">
        <f>SUMIF('Project Data'!$E:$E, 'Project Data_summary'!B41, 'Project Data'!AU:AU)</f>
        <v>82</v>
      </c>
      <c r="M41" s="321">
        <f>SUMIF('Project Data'!$E:$E, 'Project Data_summary'!B41, 'Project Data'!AV:AV)</f>
        <v>82</v>
      </c>
      <c r="N41" s="321">
        <f>SUMIF('Project Data'!$E:$E, 'Project Data_summary'!B41, 'Project Data'!AW:AW)</f>
        <v>82</v>
      </c>
      <c r="O41" s="321">
        <f>SUMIF('Project Data'!$E:$E, 'Project Data_summary'!B41, 'Project Data'!AX:AX)</f>
        <v>82</v>
      </c>
      <c r="P41" s="321">
        <f>SUMIF('Project Data'!$E:$E, 'Project Data_summary'!B41, 'Project Data'!AY:AY)</f>
        <v>82</v>
      </c>
      <c r="Q41" s="321">
        <f>SUMIF('Project Data'!$E:$E, 'Project Data_summary'!B41, 'Project Data'!AZ:AZ)</f>
        <v>0</v>
      </c>
      <c r="R41" s="321">
        <f>SUMIF('Project Data'!$E:$E, 'Project Data_summary'!B41, 'Project Data'!BA:BA)</f>
        <v>0</v>
      </c>
      <c r="S41" s="321">
        <f>SUMIF('Project Data'!$E:$E, 'Project Data_summary'!B41, 'Project Data'!BB:BB)</f>
        <v>0</v>
      </c>
      <c r="T41" s="321">
        <f>SUMIF('Project Data'!$E:$E, 'Project Data_summary'!B41, 'Project Data'!BC:BC)</f>
        <v>0</v>
      </c>
      <c r="U41" s="321">
        <f t="shared" si="3"/>
        <v>3828</v>
      </c>
      <c r="V41" s="445"/>
    </row>
    <row r="42" spans="1:22" x14ac:dyDescent="0.2">
      <c r="A42" s="198"/>
      <c r="B42" s="307" t="s">
        <v>207</v>
      </c>
      <c r="C42" s="321">
        <f>SUMIF('Project Data'!$E:$E, 'Project Data_summary'!B42, 'Project Data'!$AL:$AL)</f>
        <v>0</v>
      </c>
      <c r="D42" s="321">
        <f>SUMIF('Project Data'!$E:$E, 'Project Data_summary'!B42, 'Project Data'!AM:AM)</f>
        <v>0</v>
      </c>
      <c r="E42" s="321">
        <f>SUMIF('Project Data'!$E:$E, 'Project Data_summary'!B42, 'Project Data'!AN:AN)</f>
        <v>0</v>
      </c>
      <c r="F42" s="321">
        <f>SUMIF('Project Data'!$E:$E, 'Project Data_summary'!B42, 'Project Data'!AO:AO)</f>
        <v>0</v>
      </c>
      <c r="G42" s="321">
        <f>SUMIF('Project Data'!$E:$E, 'Project Data_summary'!B42, 'Project Data'!AP:AP)</f>
        <v>0</v>
      </c>
      <c r="H42" s="321">
        <f>SUMIF('Project Data'!$E:$E, 'Project Data_summary'!B42, 'Project Data'!AQ:AQ)</f>
        <v>0</v>
      </c>
      <c r="I42" s="321">
        <f>SUMIF('Project Data'!$E:$E, 'Project Data_summary'!B42, 'Project Data'!AR:AR)</f>
        <v>0</v>
      </c>
      <c r="J42" s="321">
        <f>SUMIF('Project Data'!$E:$E, 'Project Data_summary'!B42, 'Project Data'!AS:AS)</f>
        <v>0</v>
      </c>
      <c r="K42" s="321">
        <f>SUMIF('Project Data'!$E:$E, 'Project Data_summary'!B42, 'Project Data'!AT:AT)</f>
        <v>0</v>
      </c>
      <c r="L42" s="321">
        <f>SUMIF('Project Data'!$E:$E, 'Project Data_summary'!B42, 'Project Data'!AU:AU)</f>
        <v>0</v>
      </c>
      <c r="M42" s="321">
        <f>SUMIF('Project Data'!$E:$E, 'Project Data_summary'!B42, 'Project Data'!AV:AV)</f>
        <v>0</v>
      </c>
      <c r="N42" s="321">
        <f>SUMIF('Project Data'!$E:$E, 'Project Data_summary'!B42, 'Project Data'!AW:AW)</f>
        <v>0</v>
      </c>
      <c r="O42" s="321">
        <f>SUMIF('Project Data'!$E:$E, 'Project Data_summary'!B42, 'Project Data'!AX:AX)</f>
        <v>0</v>
      </c>
      <c r="P42" s="321">
        <f>SUMIF('Project Data'!$E:$E, 'Project Data_summary'!B42, 'Project Data'!AY:AY)</f>
        <v>0</v>
      </c>
      <c r="Q42" s="321">
        <f>SUMIF('Project Data'!$E:$E, 'Project Data_summary'!B42, 'Project Data'!AZ:AZ)</f>
        <v>0</v>
      </c>
      <c r="R42" s="321">
        <f>SUMIF('Project Data'!$E:$E, 'Project Data_summary'!B42, 'Project Data'!BA:BA)</f>
        <v>0</v>
      </c>
      <c r="S42" s="321">
        <f>SUMIF('Project Data'!$E:$E, 'Project Data_summary'!B42, 'Project Data'!BB:BB)</f>
        <v>0</v>
      </c>
      <c r="T42" s="321">
        <f>SUMIF('Project Data'!$E:$E, 'Project Data_summary'!B42, 'Project Data'!BC:BC)</f>
        <v>0</v>
      </c>
      <c r="U42" s="321">
        <f t="shared" si="3"/>
        <v>0</v>
      </c>
      <c r="V42" s="445"/>
    </row>
    <row r="43" spans="1:22" x14ac:dyDescent="0.2">
      <c r="A43" s="198"/>
      <c r="B43" s="307" t="s">
        <v>188</v>
      </c>
      <c r="C43" s="321">
        <f>SUMIF('Project Data'!$E:$E, 'Project Data_summary'!B43, 'Project Data'!$AL:$AL)</f>
        <v>0</v>
      </c>
      <c r="D43" s="321">
        <f>SUMIF('Project Data'!$E:$E, 'Project Data_summary'!B43, 'Project Data'!AM:AM)</f>
        <v>0</v>
      </c>
      <c r="E43" s="321">
        <f>SUMIF('Project Data'!$E:$E, 'Project Data_summary'!B43, 'Project Data'!AN:AN)</f>
        <v>0</v>
      </c>
      <c r="F43" s="321">
        <f>SUMIF('Project Data'!$E:$E, 'Project Data_summary'!B43, 'Project Data'!AO:AO)</f>
        <v>0</v>
      </c>
      <c r="G43" s="321">
        <f>SUMIF('Project Data'!$E:$E, 'Project Data_summary'!B43, 'Project Data'!AP:AP)</f>
        <v>374</v>
      </c>
      <c r="H43" s="321">
        <f>SUMIF('Project Data'!$E:$E, 'Project Data_summary'!B43, 'Project Data'!AQ:AQ)</f>
        <v>2245</v>
      </c>
      <c r="I43" s="321">
        <f>SUMIF('Project Data'!$E:$E, 'Project Data_summary'!B43, 'Project Data'!AR:AR)</f>
        <v>2245</v>
      </c>
      <c r="J43" s="321">
        <f>SUMIF('Project Data'!$E:$E, 'Project Data_summary'!B43, 'Project Data'!AS:AS)</f>
        <v>2245</v>
      </c>
      <c r="K43" s="321">
        <f>SUMIF('Project Data'!$E:$E, 'Project Data_summary'!B43, 'Project Data'!AT:AT)</f>
        <v>2245</v>
      </c>
      <c r="L43" s="321">
        <f>SUMIF('Project Data'!$E:$E, 'Project Data_summary'!B43, 'Project Data'!AU:AU)</f>
        <v>2245</v>
      </c>
      <c r="M43" s="321">
        <f>SUMIF('Project Data'!$E:$E, 'Project Data_summary'!B43, 'Project Data'!AV:AV)</f>
        <v>2245</v>
      </c>
      <c r="N43" s="321">
        <f>SUMIF('Project Data'!$E:$E, 'Project Data_summary'!B43, 'Project Data'!AW:AW)</f>
        <v>2245</v>
      </c>
      <c r="O43" s="321">
        <f>SUMIF('Project Data'!$E:$E, 'Project Data_summary'!B43, 'Project Data'!AX:AX)</f>
        <v>2245</v>
      </c>
      <c r="P43" s="321">
        <f>SUMIF('Project Data'!$E:$E, 'Project Data_summary'!B43, 'Project Data'!AY:AY)</f>
        <v>2245</v>
      </c>
      <c r="Q43" s="321">
        <f>SUMIF('Project Data'!$E:$E, 'Project Data_summary'!B43, 'Project Data'!AZ:AZ)</f>
        <v>2245</v>
      </c>
      <c r="R43" s="321">
        <f>SUMIF('Project Data'!$E:$E, 'Project Data_summary'!B43, 'Project Data'!BA:BA)</f>
        <v>2245</v>
      </c>
      <c r="S43" s="321">
        <f>SUMIF('Project Data'!$E:$E, 'Project Data_summary'!B43, 'Project Data'!BB:BB)</f>
        <v>2245</v>
      </c>
      <c r="T43" s="321">
        <f>SUMIF('Project Data'!$E:$E, 'Project Data_summary'!B43, 'Project Data'!BC:BC)</f>
        <v>2245</v>
      </c>
      <c r="U43" s="321">
        <f t="shared" si="3"/>
        <v>29559</v>
      </c>
      <c r="V43" s="445"/>
    </row>
    <row r="44" spans="1:22" x14ac:dyDescent="0.2">
      <c r="A44" s="198"/>
      <c r="B44" s="307" t="s">
        <v>183</v>
      </c>
      <c r="C44" s="321">
        <f>SUMIF('Project Data'!$E:$E, 'Project Data_summary'!B44, 'Project Data'!$AL:$AL)</f>
        <v>0</v>
      </c>
      <c r="D44" s="321">
        <f>SUMIF('Project Data'!$E:$E, 'Project Data_summary'!B44, 'Project Data'!AM:AM)</f>
        <v>0</v>
      </c>
      <c r="E44" s="321">
        <f>SUMIF('Project Data'!$E:$E, 'Project Data_summary'!B44, 'Project Data'!AN:AN)</f>
        <v>0</v>
      </c>
      <c r="F44" s="321">
        <f>SUMIF('Project Data'!$E:$E, 'Project Data_summary'!B44, 'Project Data'!AO:AO)</f>
        <v>0</v>
      </c>
      <c r="G44" s="321">
        <f>SUMIF('Project Data'!$E:$E, 'Project Data_summary'!B44, 'Project Data'!AP:AP)</f>
        <v>0</v>
      </c>
      <c r="H44" s="321">
        <f>SUMIF('Project Data'!$E:$E, 'Project Data_summary'!B44, 'Project Data'!AQ:AQ)</f>
        <v>0</v>
      </c>
      <c r="I44" s="321">
        <f>SUMIF('Project Data'!$E:$E, 'Project Data_summary'!B44, 'Project Data'!AR:AR)</f>
        <v>319</v>
      </c>
      <c r="J44" s="321">
        <f>SUMIF('Project Data'!$E:$E, 'Project Data_summary'!B44, 'Project Data'!AS:AS)</f>
        <v>517</v>
      </c>
      <c r="K44" s="321">
        <f>SUMIF('Project Data'!$E:$E, 'Project Data_summary'!B44, 'Project Data'!AT:AT)</f>
        <v>517</v>
      </c>
      <c r="L44" s="321">
        <f>SUMIF('Project Data'!$E:$E, 'Project Data_summary'!B44, 'Project Data'!AU:AU)</f>
        <v>517</v>
      </c>
      <c r="M44" s="321">
        <f>SUMIF('Project Data'!$E:$E, 'Project Data_summary'!B44, 'Project Data'!AV:AV)</f>
        <v>517</v>
      </c>
      <c r="N44" s="321">
        <f>SUMIF('Project Data'!$E:$E, 'Project Data_summary'!B44, 'Project Data'!AW:AW)</f>
        <v>517</v>
      </c>
      <c r="O44" s="321">
        <f>SUMIF('Project Data'!$E:$E, 'Project Data_summary'!B44, 'Project Data'!AX:AX)</f>
        <v>517</v>
      </c>
      <c r="P44" s="321">
        <f>SUMIF('Project Data'!$E:$E, 'Project Data_summary'!B44, 'Project Data'!AY:AY)</f>
        <v>517</v>
      </c>
      <c r="Q44" s="321">
        <f>SUMIF('Project Data'!$E:$E, 'Project Data_summary'!B44, 'Project Data'!AZ:AZ)</f>
        <v>517</v>
      </c>
      <c r="R44" s="321">
        <f>SUMIF('Project Data'!$E:$E, 'Project Data_summary'!B44, 'Project Data'!BA:BA)</f>
        <v>517</v>
      </c>
      <c r="S44" s="321">
        <f>SUMIF('Project Data'!$E:$E, 'Project Data_summary'!B44, 'Project Data'!BB:BB)</f>
        <v>517</v>
      </c>
      <c r="T44" s="321">
        <f>SUMIF('Project Data'!$E:$E, 'Project Data_summary'!B44, 'Project Data'!BC:BC)</f>
        <v>517</v>
      </c>
      <c r="U44" s="321">
        <f t="shared" si="3"/>
        <v>6006</v>
      </c>
      <c r="V44" s="445"/>
    </row>
    <row r="45" spans="1:22" x14ac:dyDescent="0.2">
      <c r="A45" s="198"/>
      <c r="B45" s="308" t="s">
        <v>770</v>
      </c>
      <c r="C45" s="550">
        <f>SUM(C28:C44)</f>
        <v>0</v>
      </c>
      <c r="D45" s="550">
        <f t="shared" ref="D45:S45" si="4">SUM(D28:D44)</f>
        <v>163</v>
      </c>
      <c r="E45" s="550">
        <f t="shared" si="4"/>
        <v>1632</v>
      </c>
      <c r="F45" s="550">
        <f t="shared" si="4"/>
        <v>4604</v>
      </c>
      <c r="G45" s="550">
        <f t="shared" si="4"/>
        <v>45752</v>
      </c>
      <c r="H45" s="550">
        <f t="shared" si="4"/>
        <v>247157</v>
      </c>
      <c r="I45" s="550">
        <f t="shared" si="4"/>
        <v>317321</v>
      </c>
      <c r="J45" s="550">
        <f t="shared" si="4"/>
        <v>320102</v>
      </c>
      <c r="K45" s="550">
        <f t="shared" si="4"/>
        <v>108242</v>
      </c>
      <c r="L45" s="550">
        <f t="shared" si="4"/>
        <v>106063</v>
      </c>
      <c r="M45" s="550">
        <f t="shared" si="4"/>
        <v>106244</v>
      </c>
      <c r="N45" s="550">
        <f t="shared" si="4"/>
        <v>106889</v>
      </c>
      <c r="O45" s="550">
        <f t="shared" si="4"/>
        <v>103737</v>
      </c>
      <c r="P45" s="550">
        <f t="shared" si="4"/>
        <v>100010</v>
      </c>
      <c r="Q45" s="550">
        <f t="shared" si="4"/>
        <v>79674</v>
      </c>
      <c r="R45" s="550">
        <f t="shared" si="4"/>
        <v>78433</v>
      </c>
      <c r="S45" s="550">
        <f t="shared" si="4"/>
        <v>78246</v>
      </c>
      <c r="T45" s="550">
        <f>SUM(T28:T44)</f>
        <v>78660</v>
      </c>
      <c r="U45" s="550">
        <f>IF(SUM(U28:U44)=SUM(C45:T45), SUM(U28:U44), "error")</f>
        <v>1882929</v>
      </c>
      <c r="V45" s="445"/>
    </row>
    <row r="46" spans="1:22" x14ac:dyDescent="0.2">
      <c r="A46" s="198"/>
      <c r="B46" s="152"/>
      <c r="C46" s="152"/>
      <c r="D46" s="152"/>
      <c r="E46" s="152"/>
      <c r="F46" s="152"/>
      <c r="G46" s="152"/>
      <c r="H46" s="152"/>
      <c r="I46" s="152"/>
      <c r="J46" s="152"/>
      <c r="K46" s="152"/>
      <c r="L46" s="152"/>
      <c r="M46" s="152"/>
      <c r="N46" s="152"/>
      <c r="O46" s="152"/>
      <c r="P46" s="152"/>
      <c r="Q46" s="152"/>
      <c r="R46" s="152"/>
      <c r="S46" s="152"/>
      <c r="T46" s="152"/>
      <c r="U46" s="152"/>
      <c r="V46" s="445"/>
    </row>
    <row r="47" spans="1:22" ht="19.5" x14ac:dyDescent="0.3">
      <c r="A47" s="196"/>
      <c r="B47" s="297" t="s">
        <v>1090</v>
      </c>
      <c r="C47" s="316"/>
      <c r="D47" s="316"/>
      <c r="E47" s="316"/>
      <c r="F47" s="317"/>
      <c r="G47" s="318"/>
      <c r="H47" s="318"/>
      <c r="I47" s="318"/>
      <c r="J47" s="319"/>
      <c r="K47" s="318"/>
      <c r="L47" s="318"/>
      <c r="M47" s="318"/>
      <c r="N47" s="318"/>
      <c r="O47" s="318"/>
      <c r="P47" s="318"/>
      <c r="Q47" s="318"/>
      <c r="R47" s="318"/>
      <c r="S47" s="318"/>
      <c r="T47" s="318"/>
      <c r="U47" s="320"/>
      <c r="V47" s="445"/>
    </row>
    <row r="48" spans="1:22" x14ac:dyDescent="0.2">
      <c r="A48" s="196"/>
      <c r="B48" s="308"/>
      <c r="C48" s="315">
        <v>2013</v>
      </c>
      <c r="D48" s="315">
        <v>2014</v>
      </c>
      <c r="E48" s="315">
        <v>2015</v>
      </c>
      <c r="F48" s="315">
        <v>2016</v>
      </c>
      <c r="G48" s="315">
        <v>2017</v>
      </c>
      <c r="H48" s="315">
        <v>2018</v>
      </c>
      <c r="I48" s="315">
        <v>2019</v>
      </c>
      <c r="J48" s="315">
        <v>2020</v>
      </c>
      <c r="K48" s="315">
        <v>2021</v>
      </c>
      <c r="L48" s="315">
        <v>2022</v>
      </c>
      <c r="M48" s="315">
        <v>2023</v>
      </c>
      <c r="N48" s="315">
        <v>2024</v>
      </c>
      <c r="O48" s="315">
        <v>2025</v>
      </c>
      <c r="P48" s="315">
        <v>2026</v>
      </c>
      <c r="Q48" s="315">
        <v>2027</v>
      </c>
      <c r="R48" s="315">
        <v>2028</v>
      </c>
      <c r="S48" s="315">
        <v>2029</v>
      </c>
      <c r="T48" s="315">
        <v>2030</v>
      </c>
      <c r="U48" s="315" t="s">
        <v>770</v>
      </c>
      <c r="V48" s="445"/>
    </row>
    <row r="49" spans="1:22" x14ac:dyDescent="0.2">
      <c r="A49" s="198"/>
      <c r="B49" s="307" t="s">
        <v>147</v>
      </c>
      <c r="C49" s="321">
        <f>SUMIF('Project Data'!$H:$H, 'Project Data_summary'!B49, 'Project Data'!AL:AL)</f>
        <v>0</v>
      </c>
      <c r="D49" s="321">
        <f>SUMIF('Project Data'!$H:$H, 'Project Data_summary'!B49, 'Project Data'!AM:AM)</f>
        <v>127</v>
      </c>
      <c r="E49" s="321">
        <f>SUMIF('Project Data'!$H:$H, 'Project Data_summary'!B49, 'Project Data'!AN:AN)</f>
        <v>1239</v>
      </c>
      <c r="F49" s="321">
        <f>SUMIF('Project Data'!$H:$H, 'Project Data_summary'!B49, 'Project Data'!AO:AO)</f>
        <v>3122</v>
      </c>
      <c r="G49" s="321">
        <f>SUMIF('Project Data'!$H:$H, 'Project Data_summary'!B49, 'Project Data'!AP:AP)</f>
        <v>32181</v>
      </c>
      <c r="H49" s="321">
        <f>SUMIF('Project Data'!$H:$H, 'Project Data_summary'!B49, 'Project Data'!AQ:AQ)</f>
        <v>212864</v>
      </c>
      <c r="I49" s="321">
        <f>SUMIF('Project Data'!$H:$H, 'Project Data_summary'!B49, 'Project Data'!AR:AR)</f>
        <v>272485</v>
      </c>
      <c r="J49" s="321">
        <f>SUMIF('Project Data'!$H:$H, 'Project Data_summary'!B49, 'Project Data'!AS:AS)</f>
        <v>273506</v>
      </c>
      <c r="K49" s="321">
        <f>SUMIF('Project Data'!$H:$H, 'Project Data_summary'!B49, 'Project Data'!AT:AT)</f>
        <v>63008</v>
      </c>
      <c r="L49" s="321">
        <f>SUMIF('Project Data'!$H:$H, 'Project Data_summary'!B49, 'Project Data'!AU:AU)</f>
        <v>59892</v>
      </c>
      <c r="M49" s="321">
        <f>SUMIF('Project Data'!$H:$H, 'Project Data_summary'!B49, 'Project Data'!AV:AV)</f>
        <v>59318</v>
      </c>
      <c r="N49" s="321">
        <f>SUMIF('Project Data'!$H:$H, 'Project Data_summary'!B49, 'Project Data'!AW:AW)</f>
        <v>59335</v>
      </c>
      <c r="O49" s="321">
        <f>SUMIF('Project Data'!$H:$H, 'Project Data_summary'!B49, 'Project Data'!AX:AX)</f>
        <v>55772</v>
      </c>
      <c r="P49" s="321">
        <f>SUMIF('Project Data'!$H:$H, 'Project Data_summary'!B49, 'Project Data'!AY:AY)</f>
        <v>51679</v>
      </c>
      <c r="Q49" s="321">
        <f>SUMIF('Project Data'!$H:$H, 'Project Data_summary'!B49, 'Project Data'!AZ:AZ)</f>
        <v>31108</v>
      </c>
      <c r="R49" s="321">
        <f>SUMIF('Project Data'!$H:$H, 'Project Data_summary'!B49, 'Project Data'!BA:BA)</f>
        <v>30866</v>
      </c>
      <c r="S49" s="321">
        <f>SUMIF('Project Data'!$H:$H, 'Project Data_summary'!B49, 'Project Data'!BB:BB)</f>
        <v>30431</v>
      </c>
      <c r="T49" s="321">
        <f>SUMIF('Project Data'!$H:$H, 'Project Data_summary'!B49, 'Project Data'!BC:BC)</f>
        <v>30525</v>
      </c>
      <c r="U49" s="321">
        <f>SUM(C49:T49)</f>
        <v>1267458</v>
      </c>
      <c r="V49" s="445"/>
    </row>
    <row r="50" spans="1:22" x14ac:dyDescent="0.2">
      <c r="A50" s="198"/>
      <c r="B50" s="307" t="s">
        <v>167</v>
      </c>
      <c r="C50" s="321">
        <f>SUMIF('Project Data'!$H:$H, 'Project Data_summary'!B50, 'Project Data'!AL:AL)</f>
        <v>0</v>
      </c>
      <c r="D50" s="321">
        <f>SUMIF('Project Data'!$H:$H, 'Project Data_summary'!B50, 'Project Data'!AM:AM)</f>
        <v>36</v>
      </c>
      <c r="E50" s="321">
        <f>SUMIF('Project Data'!$H:$H, 'Project Data_summary'!B50, 'Project Data'!AN:AN)</f>
        <v>259</v>
      </c>
      <c r="F50" s="321">
        <f>SUMIF('Project Data'!$H:$H, 'Project Data_summary'!B50, 'Project Data'!AO:AO)</f>
        <v>1158</v>
      </c>
      <c r="G50" s="321">
        <f>SUMIF('Project Data'!$H:$H, 'Project Data_summary'!B50, 'Project Data'!AP:AP)</f>
        <v>15180</v>
      </c>
      <c r="H50" s="321">
        <f>SUMIF('Project Data'!$H:$H, 'Project Data_summary'!B50, 'Project Data'!AQ:AQ)</f>
        <v>35822</v>
      </c>
      <c r="I50" s="321">
        <f>SUMIF('Project Data'!$H:$H, 'Project Data_summary'!B50, 'Project Data'!AR:AR)</f>
        <v>44250</v>
      </c>
      <c r="J50" s="321">
        <f>SUMIF('Project Data'!$H:$H, 'Project Data_summary'!B50, 'Project Data'!AS:AS)</f>
        <v>44439</v>
      </c>
      <c r="K50" s="321">
        <f>SUMIF('Project Data'!$H:$H, 'Project Data_summary'!B50, 'Project Data'!AT:AT)</f>
        <v>42204</v>
      </c>
      <c r="L50" s="321">
        <f>SUMIF('Project Data'!$H:$H, 'Project Data_summary'!B50, 'Project Data'!AU:AU)</f>
        <v>42201</v>
      </c>
      <c r="M50" s="321">
        <f>SUMIF('Project Data'!$H:$H, 'Project Data_summary'!B50, 'Project Data'!AV:AV)</f>
        <v>42198</v>
      </c>
      <c r="N50" s="321">
        <f>SUMIF('Project Data'!$H:$H, 'Project Data_summary'!B50, 'Project Data'!AW:AW)</f>
        <v>42195</v>
      </c>
      <c r="O50" s="321">
        <f>SUMIF('Project Data'!$H:$H, 'Project Data_summary'!B50, 'Project Data'!AX:AX)</f>
        <v>42068</v>
      </c>
      <c r="P50" s="321">
        <f>SUMIF('Project Data'!$H:$H, 'Project Data_summary'!B50, 'Project Data'!AY:AY)</f>
        <v>41964</v>
      </c>
      <c r="Q50" s="321">
        <f>SUMIF('Project Data'!$H:$H, 'Project Data_summary'!B50, 'Project Data'!AZ:AZ)</f>
        <v>41781</v>
      </c>
      <c r="R50" s="321">
        <f>SUMIF('Project Data'!$H:$H, 'Project Data_summary'!B50, 'Project Data'!BA:BA)</f>
        <v>40404</v>
      </c>
      <c r="S50" s="321">
        <f>SUMIF('Project Data'!$H:$H, 'Project Data_summary'!B50, 'Project Data'!BB:BB)</f>
        <v>40306</v>
      </c>
      <c r="T50" s="321">
        <f>SUMIF('Project Data'!$H:$H, 'Project Data_summary'!B50, 'Project Data'!BC:BC)</f>
        <v>40306</v>
      </c>
      <c r="U50" s="321">
        <f>SUM(C50:T50)</f>
        <v>556771</v>
      </c>
      <c r="V50" s="445"/>
    </row>
    <row r="51" spans="1:22" x14ac:dyDescent="0.2">
      <c r="A51" s="198"/>
      <c r="B51" s="307" t="s">
        <v>224</v>
      </c>
      <c r="C51" s="321">
        <f>SUMIF('Project Data'!$H:$H, 'Project Data_summary'!B51, 'Project Data'!AL:AL)</f>
        <v>0</v>
      </c>
      <c r="D51" s="321">
        <f>SUMIF('Project Data'!$H:$H, 'Project Data_summary'!B51, 'Project Data'!AM:AM)</f>
        <v>0</v>
      </c>
      <c r="E51" s="321">
        <f>SUMIF('Project Data'!$H:$H, 'Project Data_summary'!B51, 'Project Data'!AN:AN)</f>
        <v>0</v>
      </c>
      <c r="F51" s="321">
        <f>SUMIF('Project Data'!$H:$H, 'Project Data_summary'!B51, 'Project Data'!AO:AO)</f>
        <v>0</v>
      </c>
      <c r="G51" s="321">
        <f>SUMIF('Project Data'!$H:$H, 'Project Data_summary'!B51, 'Project Data'!AP:AP)</f>
        <v>-1933</v>
      </c>
      <c r="H51" s="321">
        <f>SUMIF('Project Data'!$H:$H, 'Project Data_summary'!B51, 'Project Data'!AQ:AQ)</f>
        <v>-1853</v>
      </c>
      <c r="I51" s="321">
        <f>SUMIF('Project Data'!$H:$H, 'Project Data_summary'!B51, 'Project Data'!AR:AR)</f>
        <v>262</v>
      </c>
      <c r="J51" s="321">
        <f>SUMIF('Project Data'!$H:$H, 'Project Data_summary'!B51, 'Project Data'!AS:AS)</f>
        <v>1833</v>
      </c>
      <c r="K51" s="321">
        <f>SUMIF('Project Data'!$H:$H, 'Project Data_summary'!B51, 'Project Data'!AT:AT)</f>
        <v>3030</v>
      </c>
      <c r="L51" s="321">
        <f>SUMIF('Project Data'!$H:$H, 'Project Data_summary'!B51, 'Project Data'!AU:AU)</f>
        <v>3970</v>
      </c>
      <c r="M51" s="321">
        <f>SUMIF('Project Data'!$H:$H, 'Project Data_summary'!B51, 'Project Data'!AV:AV)</f>
        <v>4728</v>
      </c>
      <c r="N51" s="321">
        <f>SUMIF('Project Data'!$H:$H, 'Project Data_summary'!B51, 'Project Data'!AW:AW)</f>
        <v>5359</v>
      </c>
      <c r="O51" s="321">
        <f>SUMIF('Project Data'!$H:$H, 'Project Data_summary'!B51, 'Project Data'!AX:AX)</f>
        <v>5897</v>
      </c>
      <c r="P51" s="321">
        <f>SUMIF('Project Data'!$H:$H, 'Project Data_summary'!B51, 'Project Data'!AY:AY)</f>
        <v>6367</v>
      </c>
      <c r="Q51" s="321">
        <f>SUMIF('Project Data'!$H:$H, 'Project Data_summary'!B51, 'Project Data'!AZ:AZ)</f>
        <v>6785</v>
      </c>
      <c r="R51" s="321">
        <f>SUMIF('Project Data'!$H:$H, 'Project Data_summary'!B51, 'Project Data'!BA:BA)</f>
        <v>7163</v>
      </c>
      <c r="S51" s="321">
        <f>SUMIF('Project Data'!$H:$H, 'Project Data_summary'!B51, 'Project Data'!BB:BB)</f>
        <v>7509</v>
      </c>
      <c r="T51" s="321">
        <f>SUMIF('Project Data'!$H:$H, 'Project Data_summary'!B51, 'Project Data'!BC:BC)</f>
        <v>7829</v>
      </c>
      <c r="U51" s="321">
        <f>SUM(C51:T51)</f>
        <v>56946</v>
      </c>
      <c r="V51" s="445"/>
    </row>
    <row r="52" spans="1:22" x14ac:dyDescent="0.2">
      <c r="A52" s="198"/>
      <c r="B52" s="322" t="s">
        <v>632</v>
      </c>
      <c r="C52" s="321">
        <f>SUMIF('Project Data'!$H:$H, 'Project Data_summary'!B52, 'Project Data'!AL:AL)</f>
        <v>0</v>
      </c>
      <c r="D52" s="321">
        <f>SUMIF('Project Data'!$H:$H, 'Project Data_summary'!B52, 'Project Data'!AM:AM)</f>
        <v>0</v>
      </c>
      <c r="E52" s="321">
        <f>SUMIF('Project Data'!$H:$H, 'Project Data_summary'!B52, 'Project Data'!AN:AN)</f>
        <v>134</v>
      </c>
      <c r="F52" s="321">
        <f>SUMIF('Project Data'!$H:$H, 'Project Data_summary'!B52, 'Project Data'!AO:AO)</f>
        <v>324</v>
      </c>
      <c r="G52" s="321">
        <f>SUMIF('Project Data'!$H:$H, 'Project Data_summary'!B52, 'Project Data'!AP:AP)</f>
        <v>324</v>
      </c>
      <c r="H52" s="321">
        <f>SUMIF('Project Data'!$H:$H, 'Project Data_summary'!B52, 'Project Data'!AQ:AQ)</f>
        <v>324</v>
      </c>
      <c r="I52" s="321">
        <f>SUMIF('Project Data'!$H:$H, 'Project Data_summary'!B52, 'Project Data'!AR:AR)</f>
        <v>324</v>
      </c>
      <c r="J52" s="321">
        <f>SUMIF('Project Data'!$H:$H, 'Project Data_summary'!B52, 'Project Data'!AS:AS)</f>
        <v>324</v>
      </c>
      <c r="K52" s="321">
        <f>SUMIF('Project Data'!$H:$H, 'Project Data_summary'!B52, 'Project Data'!AT:AT)</f>
        <v>0</v>
      </c>
      <c r="L52" s="321">
        <f>SUMIF('Project Data'!$H:$H, 'Project Data_summary'!B52, 'Project Data'!AU:AU)</f>
        <v>0</v>
      </c>
      <c r="M52" s="321">
        <f>SUMIF('Project Data'!$H:$H, 'Project Data_summary'!B52, 'Project Data'!AV:AV)</f>
        <v>0</v>
      </c>
      <c r="N52" s="321">
        <f>SUMIF('Project Data'!$H:$H, 'Project Data_summary'!B52, 'Project Data'!AW:AW)</f>
        <v>0</v>
      </c>
      <c r="O52" s="321">
        <f>SUMIF('Project Data'!$H:$H, 'Project Data_summary'!B52, 'Project Data'!AX:AX)</f>
        <v>0</v>
      </c>
      <c r="P52" s="321">
        <f>SUMIF('Project Data'!$H:$H, 'Project Data_summary'!B52, 'Project Data'!AY:AY)</f>
        <v>0</v>
      </c>
      <c r="Q52" s="321">
        <f>SUMIF('Project Data'!$H:$H, 'Project Data_summary'!B52, 'Project Data'!AZ:AZ)</f>
        <v>0</v>
      </c>
      <c r="R52" s="321">
        <f>SUMIF('Project Data'!$H:$H, 'Project Data_summary'!B52, 'Project Data'!BA:BA)</f>
        <v>0</v>
      </c>
      <c r="S52" s="321">
        <f>SUMIF('Project Data'!$H:$H, 'Project Data_summary'!B52, 'Project Data'!BB:BB)</f>
        <v>0</v>
      </c>
      <c r="T52" s="321">
        <f>SUMIF('Project Data'!$H:$H, 'Project Data_summary'!B52, 'Project Data'!BC:BC)</f>
        <v>0</v>
      </c>
      <c r="U52" s="323">
        <f>SUM(C52:T52)</f>
        <v>1754</v>
      </c>
      <c r="V52" s="445"/>
    </row>
    <row r="53" spans="1:22" x14ac:dyDescent="0.2">
      <c r="A53" s="198"/>
      <c r="B53" s="324" t="s">
        <v>770</v>
      </c>
      <c r="C53" s="325">
        <f>SUM(C49:C52)</f>
        <v>0</v>
      </c>
      <c r="D53" s="325">
        <f t="shared" ref="D53:T53" si="5">SUM(D49:D52)</f>
        <v>163</v>
      </c>
      <c r="E53" s="325">
        <f t="shared" si="5"/>
        <v>1632</v>
      </c>
      <c r="F53" s="325">
        <f t="shared" si="5"/>
        <v>4604</v>
      </c>
      <c r="G53" s="325">
        <f t="shared" si="5"/>
        <v>45752</v>
      </c>
      <c r="H53" s="325">
        <f t="shared" si="5"/>
        <v>247157</v>
      </c>
      <c r="I53" s="325">
        <f t="shared" si="5"/>
        <v>317321</v>
      </c>
      <c r="J53" s="325">
        <f t="shared" si="5"/>
        <v>320102</v>
      </c>
      <c r="K53" s="325">
        <f t="shared" si="5"/>
        <v>108242</v>
      </c>
      <c r="L53" s="325">
        <f t="shared" si="5"/>
        <v>106063</v>
      </c>
      <c r="M53" s="325">
        <f t="shared" si="5"/>
        <v>106244</v>
      </c>
      <c r="N53" s="325">
        <f t="shared" si="5"/>
        <v>106889</v>
      </c>
      <c r="O53" s="325">
        <f t="shared" si="5"/>
        <v>103737</v>
      </c>
      <c r="P53" s="325">
        <f t="shared" si="5"/>
        <v>100010</v>
      </c>
      <c r="Q53" s="325">
        <f t="shared" si="5"/>
        <v>79674</v>
      </c>
      <c r="R53" s="325">
        <f t="shared" si="5"/>
        <v>78433</v>
      </c>
      <c r="S53" s="325">
        <f t="shared" si="5"/>
        <v>78246</v>
      </c>
      <c r="T53" s="325">
        <f t="shared" si="5"/>
        <v>78660</v>
      </c>
      <c r="U53" s="325">
        <f>IF(SUM(U49:U52)=SUM(C53:T53),SUM(U49:U52),"NA")</f>
        <v>1882929</v>
      </c>
      <c r="V53" s="445"/>
    </row>
    <row r="54" spans="1:22" x14ac:dyDescent="0.2">
      <c r="A54" s="196"/>
      <c r="B54" s="177"/>
      <c r="C54" s="177"/>
      <c r="D54" s="177"/>
      <c r="E54" s="177"/>
      <c r="F54" s="177"/>
      <c r="G54" s="177"/>
      <c r="H54" s="177"/>
      <c r="I54" s="177"/>
      <c r="J54" s="166"/>
      <c r="K54" s="177"/>
      <c r="L54" s="177"/>
      <c r="M54" s="177"/>
      <c r="N54" s="177"/>
      <c r="O54" s="177"/>
      <c r="P54" s="177"/>
      <c r="Q54" s="177"/>
      <c r="R54" s="177"/>
      <c r="S54" s="177"/>
      <c r="T54" s="177"/>
      <c r="U54" s="177"/>
      <c r="V54" s="445"/>
    </row>
    <row r="55" spans="1:22" x14ac:dyDescent="0.2">
      <c r="A55" s="196"/>
      <c r="B55" s="152"/>
      <c r="C55" s="152"/>
      <c r="D55" s="152"/>
      <c r="E55" s="152"/>
      <c r="F55" s="152"/>
      <c r="G55" s="152"/>
      <c r="H55" s="152"/>
      <c r="I55" s="152"/>
      <c r="J55" s="154"/>
      <c r="K55" s="152"/>
      <c r="L55" s="152"/>
      <c r="M55" s="152"/>
      <c r="N55" s="152"/>
      <c r="O55" s="152"/>
      <c r="P55" s="152"/>
      <c r="Q55" s="152"/>
      <c r="R55" s="152"/>
      <c r="S55" s="152"/>
      <c r="T55" s="152"/>
      <c r="U55" s="152"/>
      <c r="V55" s="445"/>
    </row>
    <row r="56" spans="1:22" x14ac:dyDescent="0.2">
      <c r="A56" s="196"/>
      <c r="B56" s="165"/>
      <c r="C56" s="165"/>
      <c r="D56" s="165"/>
      <c r="E56" s="165"/>
      <c r="F56" s="165"/>
      <c r="G56" s="165"/>
      <c r="H56" s="165"/>
      <c r="I56" s="165"/>
      <c r="J56" s="165"/>
      <c r="K56" s="152"/>
      <c r="L56" s="152"/>
      <c r="M56" s="152"/>
      <c r="N56" s="152"/>
      <c r="O56" s="152"/>
      <c r="P56" s="152"/>
      <c r="Q56" s="152"/>
      <c r="R56" s="152"/>
      <c r="S56" s="152"/>
      <c r="T56" s="152"/>
      <c r="U56" s="152"/>
      <c r="V56" s="445"/>
    </row>
    <row r="57" spans="1:22" ht="19.5" x14ac:dyDescent="0.2">
      <c r="A57" s="196"/>
      <c r="B57" s="300" t="s">
        <v>1091</v>
      </c>
      <c r="C57" s="316"/>
      <c r="D57" s="316"/>
      <c r="E57" s="316"/>
      <c r="F57" s="317"/>
      <c r="G57" s="318"/>
      <c r="H57" s="318"/>
      <c r="I57" s="318"/>
      <c r="J57" s="326"/>
      <c r="K57" s="153"/>
      <c r="L57" s="152"/>
      <c r="M57" s="152"/>
      <c r="N57" s="152"/>
      <c r="O57" s="152"/>
      <c r="P57" s="152"/>
      <c r="Q57" s="152"/>
      <c r="R57" s="152"/>
      <c r="S57" s="152"/>
      <c r="T57" s="152"/>
      <c r="U57" s="152"/>
      <c r="V57" s="445"/>
    </row>
    <row r="58" spans="1:22" x14ac:dyDescent="0.2">
      <c r="A58" s="196"/>
      <c r="B58" s="177"/>
      <c r="C58" s="177"/>
      <c r="D58" s="177"/>
      <c r="E58" s="177"/>
      <c r="F58" s="177"/>
      <c r="G58" s="177"/>
      <c r="H58" s="177"/>
      <c r="I58" s="177"/>
      <c r="J58" s="327"/>
      <c r="K58" s="152"/>
      <c r="L58" s="152"/>
      <c r="M58" s="152"/>
      <c r="N58" s="152"/>
      <c r="O58" s="152"/>
      <c r="P58" s="152"/>
      <c r="Q58" s="152"/>
      <c r="R58" s="152"/>
      <c r="S58" s="152"/>
      <c r="T58" s="152"/>
      <c r="U58" s="152"/>
      <c r="V58" s="445"/>
    </row>
    <row r="59" spans="1:22" x14ac:dyDescent="0.2">
      <c r="A59" s="196"/>
      <c r="B59" s="152"/>
      <c r="C59" s="152"/>
      <c r="D59" s="152"/>
      <c r="E59" s="152"/>
      <c r="F59" s="152"/>
      <c r="G59" s="152"/>
      <c r="H59" s="152"/>
      <c r="I59" s="152"/>
      <c r="J59" s="328"/>
      <c r="K59" s="152"/>
      <c r="L59" s="152"/>
      <c r="M59" s="152"/>
      <c r="N59" s="152"/>
      <c r="O59" s="152"/>
      <c r="P59" s="152"/>
      <c r="Q59" s="152"/>
      <c r="R59" s="152"/>
      <c r="S59" s="152"/>
      <c r="T59" s="152"/>
      <c r="U59" s="152"/>
      <c r="V59" s="445"/>
    </row>
    <row r="60" spans="1:22" x14ac:dyDescent="0.2">
      <c r="A60" s="196"/>
      <c r="B60" s="152"/>
      <c r="C60" s="152"/>
      <c r="D60" s="152"/>
      <c r="E60" s="152"/>
      <c r="F60" s="152"/>
      <c r="G60" s="152"/>
      <c r="H60" s="152"/>
      <c r="I60" s="152"/>
      <c r="J60" s="329"/>
      <c r="K60" s="152"/>
      <c r="L60" s="152"/>
      <c r="M60" s="152"/>
      <c r="N60" s="152"/>
      <c r="O60" s="152"/>
      <c r="P60" s="152"/>
      <c r="Q60" s="152"/>
      <c r="R60" s="152"/>
      <c r="S60" s="152"/>
      <c r="T60" s="152"/>
      <c r="U60" s="152"/>
      <c r="V60" s="445"/>
    </row>
    <row r="61" spans="1:22" x14ac:dyDescent="0.2">
      <c r="A61" s="196"/>
      <c r="B61" s="152"/>
      <c r="C61" s="152"/>
      <c r="D61" s="152"/>
      <c r="E61" s="152"/>
      <c r="F61" s="152"/>
      <c r="G61" s="152"/>
      <c r="H61" s="152"/>
      <c r="I61" s="152"/>
      <c r="J61" s="328"/>
      <c r="K61" s="152"/>
      <c r="L61" s="152"/>
      <c r="M61" s="152"/>
      <c r="N61" s="152"/>
      <c r="O61" s="152"/>
      <c r="P61" s="152"/>
      <c r="Q61" s="152"/>
      <c r="R61" s="152"/>
      <c r="S61" s="152"/>
      <c r="T61" s="152"/>
      <c r="U61" s="152"/>
      <c r="V61" s="445"/>
    </row>
    <row r="62" spans="1:22" x14ac:dyDescent="0.2">
      <c r="A62" s="196"/>
      <c r="B62" s="152"/>
      <c r="C62" s="152"/>
      <c r="D62" s="152"/>
      <c r="E62" s="152"/>
      <c r="F62" s="152"/>
      <c r="G62" s="152"/>
      <c r="H62" s="152"/>
      <c r="I62" s="152"/>
      <c r="J62" s="329"/>
      <c r="K62" s="152"/>
      <c r="L62" s="152"/>
      <c r="M62" s="152"/>
      <c r="N62" s="152"/>
      <c r="O62" s="152"/>
      <c r="P62" s="152"/>
      <c r="Q62" s="152"/>
      <c r="R62" s="152"/>
      <c r="S62" s="152"/>
      <c r="T62" s="152"/>
      <c r="U62" s="152"/>
      <c r="V62" s="445"/>
    </row>
    <row r="63" spans="1:22" x14ac:dyDescent="0.2">
      <c r="A63" s="196"/>
      <c r="B63" s="152"/>
      <c r="C63" s="152"/>
      <c r="D63" s="152"/>
      <c r="E63" s="152"/>
      <c r="F63" s="152"/>
      <c r="G63" s="152"/>
      <c r="H63" s="152"/>
      <c r="I63" s="152"/>
      <c r="J63" s="329"/>
      <c r="K63" s="152"/>
      <c r="L63" s="152"/>
      <c r="M63" s="152"/>
      <c r="N63" s="152"/>
      <c r="O63" s="152"/>
      <c r="P63" s="152"/>
      <c r="Q63" s="152"/>
      <c r="R63" s="152"/>
      <c r="S63" s="152"/>
      <c r="T63" s="152"/>
      <c r="U63" s="152"/>
      <c r="V63" s="445"/>
    </row>
    <row r="64" spans="1:22" x14ac:dyDescent="0.2">
      <c r="A64" s="196"/>
      <c r="B64" s="152"/>
      <c r="C64" s="152"/>
      <c r="D64" s="152"/>
      <c r="E64" s="152"/>
      <c r="F64" s="152"/>
      <c r="G64" s="152"/>
      <c r="H64" s="152"/>
      <c r="I64" s="152"/>
      <c r="J64" s="329"/>
      <c r="K64" s="152"/>
      <c r="L64" s="152"/>
      <c r="M64" s="152"/>
      <c r="N64" s="152"/>
      <c r="O64" s="152"/>
      <c r="P64" s="152"/>
      <c r="Q64" s="152"/>
      <c r="R64" s="152"/>
      <c r="S64" s="152"/>
      <c r="T64" s="152"/>
      <c r="U64" s="152"/>
      <c r="V64" s="445"/>
    </row>
    <row r="65" spans="1:22" x14ac:dyDescent="0.2">
      <c r="A65" s="196"/>
      <c r="B65" s="152"/>
      <c r="C65" s="152"/>
      <c r="D65" s="152"/>
      <c r="E65" s="152"/>
      <c r="F65" s="152"/>
      <c r="G65" s="152"/>
      <c r="H65" s="152"/>
      <c r="I65" s="152"/>
      <c r="J65" s="330"/>
      <c r="K65" s="152"/>
      <c r="L65" s="152"/>
      <c r="M65" s="152"/>
      <c r="N65" s="152"/>
      <c r="O65" s="152"/>
      <c r="P65" s="152"/>
      <c r="Q65" s="152"/>
      <c r="R65" s="152"/>
      <c r="S65" s="152"/>
      <c r="T65" s="152"/>
      <c r="U65" s="152"/>
      <c r="V65" s="445"/>
    </row>
    <row r="66" spans="1:22" x14ac:dyDescent="0.2">
      <c r="A66" s="196"/>
      <c r="B66" s="152"/>
      <c r="C66" s="152"/>
      <c r="D66" s="152"/>
      <c r="E66" s="152"/>
      <c r="F66" s="152"/>
      <c r="G66" s="152"/>
      <c r="H66" s="152"/>
      <c r="I66" s="152"/>
      <c r="J66" s="328"/>
      <c r="K66" s="152"/>
      <c r="L66" s="152"/>
      <c r="M66" s="152"/>
      <c r="N66" s="152"/>
      <c r="O66" s="152"/>
      <c r="P66" s="152"/>
      <c r="Q66" s="152"/>
      <c r="R66" s="152"/>
      <c r="S66" s="152"/>
      <c r="T66" s="152"/>
      <c r="U66" s="152"/>
      <c r="V66" s="445"/>
    </row>
    <row r="67" spans="1:22" x14ac:dyDescent="0.2">
      <c r="A67" s="196"/>
      <c r="B67" s="152"/>
      <c r="C67" s="152"/>
      <c r="D67" s="152"/>
      <c r="E67" s="152"/>
      <c r="F67" s="152"/>
      <c r="G67" s="152"/>
      <c r="H67" s="152"/>
      <c r="I67" s="152"/>
      <c r="J67" s="328"/>
      <c r="K67" s="152"/>
      <c r="L67" s="152"/>
      <c r="M67" s="152"/>
      <c r="N67" s="152"/>
      <c r="O67" s="152"/>
      <c r="P67" s="152"/>
      <c r="Q67" s="152"/>
      <c r="R67" s="152"/>
      <c r="S67" s="152"/>
      <c r="T67" s="152"/>
      <c r="U67" s="152"/>
      <c r="V67" s="445"/>
    </row>
    <row r="68" spans="1:22" x14ac:dyDescent="0.2">
      <c r="A68" s="196"/>
      <c r="B68" s="152"/>
      <c r="C68" s="152"/>
      <c r="D68" s="152"/>
      <c r="E68" s="152"/>
      <c r="F68" s="152"/>
      <c r="G68" s="152"/>
      <c r="H68" s="152"/>
      <c r="I68" s="152"/>
      <c r="J68" s="328"/>
      <c r="K68" s="152"/>
      <c r="L68" s="152"/>
      <c r="M68" s="152"/>
      <c r="N68" s="152"/>
      <c r="O68" s="152"/>
      <c r="P68" s="152"/>
      <c r="Q68" s="152"/>
      <c r="R68" s="152"/>
      <c r="S68" s="152"/>
      <c r="T68" s="152"/>
      <c r="U68" s="152"/>
      <c r="V68" s="445"/>
    </row>
    <row r="69" spans="1:22" x14ac:dyDescent="0.2">
      <c r="A69" s="198"/>
      <c r="B69" s="152"/>
      <c r="C69" s="152"/>
      <c r="D69" s="152"/>
      <c r="E69" s="152"/>
      <c r="F69" s="152"/>
      <c r="G69" s="152"/>
      <c r="H69" s="152"/>
      <c r="I69" s="152"/>
      <c r="J69" s="331"/>
      <c r="K69" s="152"/>
      <c r="L69" s="152"/>
      <c r="M69" s="152"/>
      <c r="N69" s="152"/>
      <c r="O69" s="152"/>
      <c r="P69" s="152"/>
      <c r="Q69" s="152"/>
      <c r="R69" s="152"/>
      <c r="S69" s="152"/>
      <c r="T69" s="152"/>
      <c r="U69" s="152"/>
      <c r="V69" s="445"/>
    </row>
    <row r="70" spans="1:22" x14ac:dyDescent="0.2">
      <c r="A70" s="198"/>
      <c r="B70" s="152"/>
      <c r="C70" s="152"/>
      <c r="D70" s="152"/>
      <c r="E70" s="152"/>
      <c r="F70" s="152"/>
      <c r="G70" s="152"/>
      <c r="H70" s="152"/>
      <c r="I70" s="152"/>
      <c r="J70" s="328"/>
      <c r="K70" s="152"/>
      <c r="L70" s="152"/>
      <c r="M70" s="152"/>
      <c r="N70" s="152"/>
      <c r="O70" s="152"/>
      <c r="P70" s="152"/>
      <c r="Q70" s="152"/>
      <c r="R70" s="152"/>
      <c r="S70" s="152"/>
      <c r="T70" s="152"/>
      <c r="U70" s="152"/>
      <c r="V70" s="445"/>
    </row>
    <row r="71" spans="1:22" x14ac:dyDescent="0.2">
      <c r="A71" s="198"/>
      <c r="B71" s="152"/>
      <c r="C71" s="152"/>
      <c r="D71" s="152"/>
      <c r="E71" s="152"/>
      <c r="F71" s="152"/>
      <c r="G71" s="152"/>
      <c r="H71" s="152"/>
      <c r="I71" s="152"/>
      <c r="J71" s="328"/>
      <c r="K71" s="152"/>
      <c r="L71" s="152"/>
      <c r="M71" s="152"/>
      <c r="N71" s="152"/>
      <c r="O71" s="152"/>
      <c r="P71" s="152"/>
      <c r="Q71" s="152"/>
      <c r="R71" s="152"/>
      <c r="S71" s="152"/>
      <c r="T71" s="152"/>
      <c r="U71" s="152"/>
      <c r="V71" s="445"/>
    </row>
    <row r="72" spans="1:22" x14ac:dyDescent="0.2">
      <c r="A72" s="198"/>
      <c r="B72" s="152"/>
      <c r="C72" s="152"/>
      <c r="D72" s="152"/>
      <c r="E72" s="152"/>
      <c r="F72" s="152"/>
      <c r="G72" s="152"/>
      <c r="H72" s="152"/>
      <c r="I72" s="152"/>
      <c r="J72" s="331"/>
      <c r="K72" s="152"/>
      <c r="L72" s="152"/>
      <c r="M72" s="152"/>
      <c r="N72" s="152"/>
      <c r="O72" s="152"/>
      <c r="P72" s="152"/>
      <c r="Q72" s="152"/>
      <c r="R72" s="152"/>
      <c r="S72" s="152"/>
      <c r="T72" s="152"/>
      <c r="U72" s="152"/>
      <c r="V72" s="445"/>
    </row>
    <row r="73" spans="1:22" x14ac:dyDescent="0.2">
      <c r="A73" s="198"/>
      <c r="B73" s="152"/>
      <c r="C73" s="152"/>
      <c r="D73" s="152"/>
      <c r="E73" s="152"/>
      <c r="F73" s="152"/>
      <c r="G73" s="152"/>
      <c r="H73" s="152"/>
      <c r="I73" s="152"/>
      <c r="J73" s="329"/>
      <c r="K73" s="152"/>
      <c r="L73" s="152"/>
      <c r="M73" s="152"/>
      <c r="N73" s="152"/>
      <c r="O73" s="152"/>
      <c r="P73" s="152"/>
      <c r="Q73" s="152"/>
      <c r="R73" s="152"/>
      <c r="S73" s="152"/>
      <c r="T73" s="152"/>
      <c r="U73" s="152"/>
      <c r="V73" s="445"/>
    </row>
    <row r="74" spans="1:22" x14ac:dyDescent="0.2">
      <c r="A74" s="198"/>
      <c r="B74" s="152"/>
      <c r="C74" s="152"/>
      <c r="D74" s="152"/>
      <c r="E74" s="152"/>
      <c r="F74" s="152"/>
      <c r="G74" s="152"/>
      <c r="H74" s="152"/>
      <c r="I74" s="152"/>
      <c r="J74" s="332"/>
      <c r="K74" s="152"/>
      <c r="L74" s="152"/>
      <c r="M74" s="152"/>
      <c r="N74" s="152"/>
      <c r="O74" s="152"/>
      <c r="P74" s="152"/>
      <c r="Q74" s="152"/>
      <c r="R74" s="152"/>
      <c r="S74" s="152"/>
      <c r="T74" s="152"/>
      <c r="U74" s="152"/>
      <c r="V74" s="445"/>
    </row>
    <row r="75" spans="1:22" x14ac:dyDescent="0.2">
      <c r="A75" s="196"/>
      <c r="B75" s="152"/>
      <c r="C75" s="152"/>
      <c r="D75" s="152"/>
      <c r="E75" s="152"/>
      <c r="F75" s="165"/>
      <c r="G75" s="165"/>
      <c r="H75" s="165"/>
      <c r="I75" s="165"/>
      <c r="J75" s="328"/>
      <c r="K75" s="152"/>
      <c r="L75" s="152"/>
      <c r="M75" s="152"/>
      <c r="N75" s="152"/>
      <c r="O75" s="152"/>
      <c r="P75" s="152"/>
      <c r="Q75" s="152"/>
      <c r="R75" s="152"/>
      <c r="S75" s="152"/>
      <c r="T75" s="152"/>
      <c r="U75" s="152"/>
      <c r="V75" s="445"/>
    </row>
    <row r="76" spans="1:22" x14ac:dyDescent="0.2">
      <c r="A76" s="342"/>
      <c r="B76" s="152"/>
      <c r="C76" s="152"/>
      <c r="D76" s="152"/>
      <c r="E76" s="152"/>
      <c r="F76" s="152"/>
      <c r="G76" s="152"/>
      <c r="H76" s="152"/>
      <c r="I76" s="152"/>
      <c r="J76" s="328"/>
      <c r="K76" s="152"/>
      <c r="L76" s="152"/>
      <c r="M76" s="152"/>
      <c r="N76" s="152"/>
      <c r="O76" s="152"/>
      <c r="P76" s="152"/>
      <c r="Q76" s="152"/>
      <c r="R76" s="152"/>
      <c r="S76" s="152"/>
      <c r="T76" s="152"/>
      <c r="U76" s="152"/>
      <c r="V76" s="445"/>
    </row>
    <row r="77" spans="1:22" x14ac:dyDescent="0.2">
      <c r="A77" s="196"/>
      <c r="B77" s="152"/>
      <c r="C77" s="152"/>
      <c r="D77" s="152"/>
      <c r="E77" s="152"/>
      <c r="F77" s="165"/>
      <c r="G77" s="165"/>
      <c r="H77" s="165"/>
      <c r="I77" s="165"/>
      <c r="J77" s="333"/>
      <c r="K77" s="152"/>
      <c r="L77" s="152"/>
      <c r="M77" s="152"/>
      <c r="N77" s="152"/>
      <c r="O77" s="152"/>
      <c r="P77" s="152"/>
      <c r="Q77" s="152"/>
      <c r="R77" s="152"/>
      <c r="S77" s="152"/>
      <c r="T77" s="152"/>
      <c r="U77" s="152"/>
      <c r="V77" s="445"/>
    </row>
    <row r="78" spans="1:22" x14ac:dyDescent="0.2">
      <c r="A78" s="196"/>
      <c r="B78" s="152"/>
      <c r="C78" s="152"/>
      <c r="D78" s="152"/>
      <c r="E78" s="152"/>
      <c r="F78" s="152"/>
      <c r="G78" s="152"/>
      <c r="H78" s="152"/>
      <c r="I78" s="152"/>
      <c r="J78" s="152"/>
      <c r="K78" s="165"/>
      <c r="L78" s="165"/>
      <c r="M78" s="165"/>
      <c r="N78" s="165"/>
      <c r="O78" s="165"/>
      <c r="P78" s="165"/>
      <c r="Q78" s="165"/>
      <c r="R78" s="165"/>
      <c r="S78" s="165"/>
      <c r="T78" s="165"/>
      <c r="U78" s="165"/>
      <c r="V78" s="445"/>
    </row>
    <row r="79" spans="1:22" x14ac:dyDescent="0.2">
      <c r="A79" s="196"/>
      <c r="B79" s="152"/>
      <c r="C79" s="152"/>
      <c r="D79" s="152"/>
      <c r="E79" s="152"/>
      <c r="F79" s="152"/>
      <c r="G79" s="152"/>
      <c r="H79" s="152"/>
      <c r="I79" s="152"/>
      <c r="J79" s="152"/>
      <c r="K79" s="152"/>
      <c r="L79" s="152"/>
      <c r="M79" s="152"/>
      <c r="N79" s="152"/>
      <c r="O79" s="152"/>
      <c r="P79" s="152"/>
      <c r="Q79" s="152"/>
      <c r="R79" s="152"/>
      <c r="S79" s="152"/>
      <c r="T79" s="152"/>
      <c r="U79" s="152"/>
      <c r="V79" s="445"/>
    </row>
    <row r="80" spans="1:22" x14ac:dyDescent="0.2">
      <c r="A80" s="198"/>
      <c r="B80" s="165"/>
      <c r="C80" s="165"/>
      <c r="D80" s="152"/>
      <c r="E80" s="152"/>
      <c r="F80" s="152"/>
      <c r="G80" s="152"/>
      <c r="H80" s="152"/>
      <c r="I80" s="152"/>
      <c r="J80" s="152"/>
      <c r="K80" s="152"/>
      <c r="L80" s="152"/>
      <c r="M80" s="152"/>
      <c r="N80" s="152"/>
      <c r="O80" s="152"/>
      <c r="P80" s="152"/>
      <c r="Q80" s="152"/>
      <c r="R80" s="152"/>
      <c r="S80" s="152"/>
      <c r="T80" s="152"/>
      <c r="U80" s="152"/>
      <c r="V80" s="445"/>
    </row>
    <row r="81" spans="1:22" x14ac:dyDescent="0.2">
      <c r="A81" s="198"/>
      <c r="B81" s="152"/>
      <c r="C81" s="152"/>
      <c r="D81" s="152"/>
      <c r="E81" s="152"/>
      <c r="F81" s="152"/>
      <c r="G81" s="152"/>
      <c r="H81" s="152"/>
      <c r="I81" s="153"/>
      <c r="J81" s="152"/>
      <c r="K81" s="152"/>
      <c r="L81" s="152"/>
      <c r="M81" s="152"/>
      <c r="N81" s="152"/>
      <c r="O81" s="152"/>
      <c r="P81" s="152"/>
      <c r="Q81" s="152"/>
      <c r="R81" s="152"/>
      <c r="S81" s="152"/>
      <c r="T81" s="152"/>
      <c r="U81" s="152"/>
      <c r="V81" s="445"/>
    </row>
    <row r="82" spans="1:22" x14ac:dyDescent="0.2">
      <c r="A82" s="198"/>
      <c r="B82" s="152"/>
      <c r="C82" s="152"/>
      <c r="D82" s="152"/>
      <c r="E82" s="152"/>
      <c r="F82" s="152"/>
      <c r="G82" s="152"/>
      <c r="H82" s="152"/>
      <c r="I82" s="152"/>
      <c r="J82" s="152"/>
      <c r="K82" s="152"/>
      <c r="L82" s="152"/>
      <c r="M82" s="152"/>
      <c r="N82" s="152"/>
      <c r="O82" s="152"/>
      <c r="P82" s="152"/>
      <c r="Q82" s="152"/>
      <c r="R82" s="152"/>
      <c r="S82" s="152"/>
      <c r="T82" s="152"/>
      <c r="U82" s="152"/>
      <c r="V82" s="445"/>
    </row>
    <row r="83" spans="1:22" x14ac:dyDescent="0.2">
      <c r="A83" s="198"/>
      <c r="B83" s="152"/>
      <c r="C83" s="152"/>
      <c r="D83" s="152"/>
      <c r="E83" s="152"/>
      <c r="F83" s="152"/>
      <c r="G83" s="152"/>
      <c r="H83" s="152"/>
      <c r="I83" s="152"/>
      <c r="J83" s="152"/>
      <c r="K83" s="152"/>
      <c r="L83" s="152"/>
      <c r="M83" s="152"/>
      <c r="N83" s="152"/>
      <c r="O83" s="152"/>
      <c r="P83" s="152"/>
      <c r="Q83" s="152"/>
      <c r="R83" s="152"/>
      <c r="S83" s="152"/>
      <c r="T83" s="152"/>
      <c r="U83" s="152"/>
      <c r="V83" s="445"/>
    </row>
    <row r="84" spans="1:22" x14ac:dyDescent="0.2">
      <c r="A84" s="198"/>
      <c r="B84" s="152"/>
      <c r="C84" s="152"/>
      <c r="D84" s="152"/>
      <c r="E84" s="152"/>
      <c r="F84" s="152"/>
      <c r="G84" s="152"/>
      <c r="H84" s="152"/>
      <c r="I84" s="152"/>
      <c r="J84" s="152"/>
      <c r="K84" s="152"/>
      <c r="L84" s="152"/>
      <c r="M84" s="152"/>
      <c r="N84" s="152"/>
      <c r="O84" s="152"/>
      <c r="P84" s="152"/>
      <c r="Q84" s="152"/>
      <c r="R84" s="152"/>
      <c r="S84" s="152"/>
      <c r="T84" s="152"/>
      <c r="U84" s="152"/>
      <c r="V84" s="445"/>
    </row>
    <row r="85" spans="1:22" x14ac:dyDescent="0.2">
      <c r="A85" s="198"/>
      <c r="B85" s="152"/>
      <c r="C85" s="152"/>
      <c r="D85" s="152"/>
      <c r="E85" s="152"/>
      <c r="F85" s="152"/>
      <c r="G85" s="152"/>
      <c r="H85" s="152"/>
      <c r="I85" s="152"/>
      <c r="J85" s="152"/>
      <c r="K85" s="152"/>
      <c r="L85" s="152"/>
      <c r="M85" s="152"/>
      <c r="N85" s="152"/>
      <c r="O85" s="152"/>
      <c r="P85" s="152"/>
      <c r="Q85" s="152"/>
      <c r="R85" s="152"/>
      <c r="S85" s="152"/>
      <c r="T85" s="152"/>
      <c r="U85" s="152"/>
      <c r="V85" s="445"/>
    </row>
    <row r="86" spans="1:22" x14ac:dyDescent="0.2">
      <c r="A86" s="198"/>
      <c r="B86" s="152"/>
      <c r="C86" s="152"/>
      <c r="D86" s="153"/>
      <c r="E86" s="152"/>
      <c r="F86" s="152"/>
      <c r="G86" s="152"/>
      <c r="H86" s="152"/>
      <c r="I86" s="152"/>
      <c r="J86" s="152"/>
      <c r="K86" s="152"/>
      <c r="L86" s="152"/>
      <c r="M86" s="152"/>
      <c r="N86" s="152"/>
      <c r="O86" s="152"/>
      <c r="P86" s="152"/>
      <c r="Q86" s="152"/>
      <c r="R86" s="152"/>
      <c r="S86" s="152"/>
      <c r="T86" s="152"/>
      <c r="U86" s="152"/>
      <c r="V86" s="445"/>
    </row>
    <row r="87" spans="1:22" ht="19.5" x14ac:dyDescent="0.3">
      <c r="A87" s="198"/>
      <c r="B87" s="297" t="s">
        <v>1092</v>
      </c>
      <c r="C87" s="316"/>
      <c r="D87" s="317"/>
      <c r="E87" s="318"/>
      <c r="F87" s="318"/>
      <c r="G87" s="318"/>
      <c r="H87" s="318"/>
      <c r="I87" s="318"/>
      <c r="J87" s="319"/>
      <c r="K87" s="318"/>
      <c r="L87" s="318"/>
      <c r="M87" s="318"/>
      <c r="N87" s="318"/>
      <c r="O87" s="318"/>
      <c r="P87" s="318"/>
      <c r="Q87" s="318"/>
      <c r="R87" s="318"/>
      <c r="S87" s="318"/>
      <c r="T87" s="318"/>
      <c r="U87" s="320"/>
      <c r="V87" s="445"/>
    </row>
    <row r="88" spans="1:22" x14ac:dyDescent="0.2">
      <c r="A88" s="198"/>
      <c r="B88" s="308"/>
      <c r="C88" s="315">
        <v>2013</v>
      </c>
      <c r="D88" s="315">
        <v>2014</v>
      </c>
      <c r="E88" s="315">
        <v>2015</v>
      </c>
      <c r="F88" s="315">
        <v>2016</v>
      </c>
      <c r="G88" s="315">
        <v>2017</v>
      </c>
      <c r="H88" s="315">
        <v>2018</v>
      </c>
      <c r="I88" s="315">
        <v>2019</v>
      </c>
      <c r="J88" s="315">
        <v>2020</v>
      </c>
      <c r="K88" s="315">
        <v>2021</v>
      </c>
      <c r="L88" s="315">
        <v>2022</v>
      </c>
      <c r="M88" s="315">
        <v>2023</v>
      </c>
      <c r="N88" s="315">
        <v>2024</v>
      </c>
      <c r="O88" s="315">
        <v>2025</v>
      </c>
      <c r="P88" s="315">
        <v>2026</v>
      </c>
      <c r="Q88" s="315">
        <v>2027</v>
      </c>
      <c r="R88" s="315">
        <v>2028</v>
      </c>
      <c r="S88" s="315">
        <v>2029</v>
      </c>
      <c r="T88" s="315">
        <v>2030</v>
      </c>
      <c r="U88" s="315" t="s">
        <v>1915</v>
      </c>
      <c r="V88" s="445"/>
    </row>
    <row r="89" spans="1:22" x14ac:dyDescent="0.2">
      <c r="A89" s="198"/>
      <c r="B89" s="307" t="s">
        <v>1907</v>
      </c>
      <c r="C89" s="321">
        <f>SUMIFS('Project Data'!$BJ:$BJ, 'Project Data'!$BI:$BI, "&gt;=2013/1/1", 'Project Data'!$BI:$BI, "&lt;=2013/12/31")+SUMIFS('Project Data'!$BP:$BP, 'Project Data'!$BO:$BO, "&gt;=2013/1/1", 'Project Data'!$BO:$BO, "&lt;=2013/12/31")</f>
        <v>0</v>
      </c>
      <c r="D89" s="321">
        <f>SUMIFS('Project Data'!$BJ:$BJ, 'Project Data'!$BI:$BI, "&gt;=2014/1/1", 'Project Data'!$BI:$BI, "&lt;=2014/12/31")+SUMIFS('Project Data'!$BP:$BP, 'Project Data'!$BO:$BO, "&gt;=2014/1/1", 'Project Data'!$BO:$BO, "&lt;=2014/12/31")</f>
        <v>0</v>
      </c>
      <c r="E89" s="321">
        <f>SUMIFS('Project Data'!$BJ:$BJ, 'Project Data'!$BI:$BI, "&gt;=2015/1/1", 'Project Data'!$BI:$BI, "&lt;=2015/12/31")+SUMIFS('Project Data'!$BP:$BP, 'Project Data'!$BO:$BO, "&gt;=2015/1/1", 'Project Data'!$BO:$BO, "&lt;=2015/12/31")</f>
        <v>0</v>
      </c>
      <c r="F89" s="321">
        <f>SUMIFS('Project Data'!$BJ:$BJ, 'Project Data'!$BI:$BI, "&gt;=2016/1/1", 'Project Data'!$BI:$BI, "&lt;=2016/12/31")+SUMIFS('Project Data'!$BP:$BP, 'Project Data'!$BO:$BO, "&gt;=2016/1/1", 'Project Data'!$BO:$BO, "&lt;=2016/12/31")</f>
        <v>378</v>
      </c>
      <c r="G89" s="321">
        <f>SUMIFS('Project Data'!$BJ:$BJ, 'Project Data'!$BI:$BI, "&gt;=2017/1/1", 'Project Data'!$BI:$BI, "&lt;=2017/12/31")+SUMIFS('Project Data'!$BP:$BP, 'Project Data'!$BO:$BO, "&gt;=2017/1/1", 'Project Data'!$BO:$BO, "&lt;=2017/12/31")</f>
        <v>7464</v>
      </c>
      <c r="H89" s="321">
        <f>SUMIFS('Project Data'!$BJ:$BJ, 'Project Data'!$BI:$BI, "&gt;=2018/1/1", 'Project Data'!$BI:$BI, "&lt;=2018/12/31")+SUMIFS('Project Data'!$BP:$BP, 'Project Data'!$BO:$BO, "&gt;=2018/1/1", 'Project Data'!$BO:$BO, "&lt;=2018/12/31")</f>
        <v>9237</v>
      </c>
      <c r="I89" s="321">
        <f>SUMIFS('Project Data'!$BJ:$BJ, 'Project Data'!$BI:$BI, "&gt;=2019/1/1", 'Project Data'!$BI:$BI, "&lt;=2019/12/31")+SUMIFS('Project Data'!$BP:$BP, 'Project Data'!$BO:$BO, "&gt;=2019/1/1", 'Project Data'!$BO:$BO, "&lt;=2019/12/31")</f>
        <v>3031</v>
      </c>
      <c r="J89" s="321">
        <f>SUMIFS('Project Data'!$BJ:$BJ, 'Project Data'!$BI:$BI, "&gt;=2020/1/1", 'Project Data'!$BI:$BI, "&lt;=2020/12/31")+SUMIFS('Project Data'!$BP:$BP, 'Project Data'!$BO:$BO, "&gt;=2020/1/1", 'Project Data'!$BO:$BO, "&lt;=2020/12/31")</f>
        <v>39320</v>
      </c>
      <c r="K89" s="321">
        <f>SUMIFS('Project Data'!$BJ:$BJ, 'Project Data'!$BI:$BI, "&gt;=2021/1/1", 'Project Data'!$BI:$BI, "&lt;=2021/12/31")</f>
        <v>0</v>
      </c>
      <c r="L89" s="321">
        <f>SUMIFS('Project Data'!$BJ:$BJ, 'Project Data'!$BI:$BI, "&gt;=2022/1/1", 'Project Data'!$BI:$BI, "&lt;=2022/12/31")</f>
        <v>0</v>
      </c>
      <c r="M89" s="321">
        <f>SUMIFS('Project Data'!$BJ:$BJ, 'Project Data'!$BI:$BI, "&gt;=2023/1/1", 'Project Data'!$BI:$BI, "&lt;=2023/12/31")</f>
        <v>0</v>
      </c>
      <c r="N89" s="321">
        <f>SUMIFS('Project Data'!$BJ:$BJ, 'Project Data'!$BI:$BI, "&gt;=2024/1/1", 'Project Data'!$BI:$BI, "&lt;=2024/12/31")</f>
        <v>0</v>
      </c>
      <c r="O89" s="321">
        <f>SUMIFS('Project Data'!$BJ:$BJ, 'Project Data'!$BI:$BI, "&gt;=2025/1/1", 'Project Data'!$BI:$BI, "&lt;=2025/12/31")</f>
        <v>0</v>
      </c>
      <c r="P89" s="321">
        <f>SUMIFS('Project Data'!$BJ:$BJ, 'Project Data'!$BI:$BI, "&gt;=2026/1/1", 'Project Data'!$BI:$BI, "&lt;=2026/12/31")</f>
        <v>0</v>
      </c>
      <c r="Q89" s="321">
        <f>SUMIFS('Project Data'!$BJ:$BJ, 'Project Data'!$BI:$BI, "&gt;=2027/1/1", 'Project Data'!$BI:$BI, "&lt;=2027/12/31")</f>
        <v>0</v>
      </c>
      <c r="R89" s="321">
        <f>SUMIFS('Project Data'!$BJ:$BJ, 'Project Data'!$BI:$BI, "&gt;=2028/1/1", 'Project Data'!$BI:$BI, "&lt;=2028/12/31")</f>
        <v>0</v>
      </c>
      <c r="S89" s="321">
        <f>SUMIFS('Project Data'!$BJ:$BJ, 'Project Data'!$BI:$BI, "&gt;=2029/1/1", 'Project Data'!$BI:$BI, "&lt;=2029/12/31")</f>
        <v>0</v>
      </c>
      <c r="T89" s="321">
        <f>SUMIFS('Project Data'!$BJ:$BJ, 'Project Data'!$BI:$BI, "&gt;=2030/1/1", 'Project Data'!$BI:$BI, "&lt;=2030/12/31")</f>
        <v>0</v>
      </c>
      <c r="U89" s="321">
        <f>SUM(C89:T89)</f>
        <v>59430</v>
      </c>
      <c r="V89" s="445"/>
    </row>
    <row r="90" spans="1:22" x14ac:dyDescent="0.2">
      <c r="A90" s="198"/>
      <c r="B90" s="307" t="s">
        <v>1912</v>
      </c>
      <c r="C90" s="321">
        <f>SUMIFS('Project Data'!$BH:$BH, 'Project Data'!$BG:$BG,  "&gt;=2013/1/1",'Project Data'!$BG:$BG,  "&lt;=2013/12/31")+SUMIFS('Project Data'!$BN:$BN, 'Project Data'!$BM:$BM,  "&gt;=2013/1/1",'Project Data'!$BM:$BM,  "&lt;=2013/12/31")</f>
        <v>0</v>
      </c>
      <c r="D90" s="321">
        <f>SUMIFS('Project Data'!$BH:$BH, 'Project Data'!$BG:$BG,  "&gt;=2014/1/1",'Project Data'!$BG:$BG,  "&lt;=2014/12/31")+SUMIFS('Project Data'!$BN:$BN, 'Project Data'!$BM:$BM,  "&gt;=2014/1/1",'Project Data'!$BM:$BM,  "&lt;=2014/12/31")</f>
        <v>0</v>
      </c>
      <c r="E90" s="321">
        <f>SUMIFS('Project Data'!$BH:$BH, 'Project Data'!$BG:$BG,  "&gt;=2015/1/1",'Project Data'!$BG:$BG,  "&lt;=2015/12/31")+SUMIFS('Project Data'!$BN:$BN, 'Project Data'!$BM:$BM,  "&gt;=2015/1/1",'Project Data'!$BM:$BM,  "&lt;=2015/12/31")</f>
        <v>0</v>
      </c>
      <c r="F90" s="321">
        <f>SUMIFS('Project Data'!$BH:$BH, 'Project Data'!$BG:$BG,  "&gt;=2016/1/1",'Project Data'!$BG:$BG,  "&lt;=2016/12/31")+SUMIFS('Project Data'!$BN:$BN, 'Project Data'!$BM:$BM,  "&gt;=2016/1/1",'Project Data'!$BM:$BM,  "&lt;=2016/12/31")</f>
        <v>115</v>
      </c>
      <c r="G90" s="321">
        <f>SUMIFS('Project Data'!$BH:$BH, 'Project Data'!$BG:$BG,  "&gt;=2017/1/1",'Project Data'!$BG:$BG,  "&lt;=2017/12/31")+SUMIFS('Project Data'!$BN:$BN, 'Project Data'!$BM:$BM,  "&gt;=2017/1/1",'Project Data'!$BM:$BM,  "&lt;=2017/12/31")</f>
        <v>1789</v>
      </c>
      <c r="H90" s="321">
        <f>SUMIFS('Project Data'!$BH:$BH, 'Project Data'!$BG:$BG,  "&gt;=2018/1/1",'Project Data'!$BG:$BG,  "&lt;=2018/12/31")+SUMIFS('Project Data'!$BN:$BN, 'Project Data'!$BM:$BM,  "&gt;=2018/1/1",'Project Data'!$BM:$BM,  "&lt;=2018/12/31")</f>
        <v>2831</v>
      </c>
      <c r="I90" s="321">
        <f>SUMIFS('Project Data'!$BH:$BH, 'Project Data'!$BG:$BG,  "&gt;=2019/1/1",'Project Data'!$BG:$BG,  "&lt;=2019/12/31")+SUMIFS('Project Data'!$BN:$BN, 'Project Data'!$BM:$BM,  "&gt;=2019/1/1",'Project Data'!$BM:$BM,  "&lt;=2019/12/31")</f>
        <v>1441</v>
      </c>
      <c r="J90" s="321">
        <f>SUMIFS('Project Data'!$BH:$BH, 'Project Data'!$BG:$BG,  "&gt;=2020/1/1",'Project Data'!$BG:$BG,  "&lt;=2020/12/31")+SUMIFS('Project Data'!$BN:$BN, 'Project Data'!$BM:$BM,  "&gt;=2020/1/1",'Project Data'!$BM:$BM,  "&lt;=2020/12/31")</f>
        <v>19355</v>
      </c>
      <c r="K90" s="321">
        <f>SUMIFS('Project Data'!$BH:$BH, 'Project Data'!$BG:$BG,  "&gt;=2021/1/1",'Project Data'!$BG:$BG,  "&lt;=2021/12/31")</f>
        <v>0</v>
      </c>
      <c r="L90" s="321">
        <f>SUMIFS('Project Data'!$BH:$BH, 'Project Data'!$BG:$BG,  "&gt;=2022/1/1",'Project Data'!$BG:$BG,  "&lt;=2022/12/31")</f>
        <v>0</v>
      </c>
      <c r="M90" s="321">
        <f>SUMIFS('Project Data'!$BH:$BH, 'Project Data'!$BG:$BG,  "&gt;=2023/1/1",'Project Data'!$BG:$BG,  "&lt;=2023/12/31")</f>
        <v>0</v>
      </c>
      <c r="N90" s="321">
        <f>SUMIFS('Project Data'!$BH:$BH, 'Project Data'!$BG:$BG,  "&gt;=2024/1/1",'Project Data'!$BG:$BG,  "&lt;=2024/12/31")</f>
        <v>0</v>
      </c>
      <c r="O90" s="321">
        <f>SUMIFS('Project Data'!$BH:$BH, 'Project Data'!$BG:$BG,  "&gt;=2025/1/1",'Project Data'!$BG:$BG,  "&lt;=2025/12/31")</f>
        <v>0</v>
      </c>
      <c r="P90" s="321">
        <f>SUMIFS('Project Data'!$BH:$BH, 'Project Data'!$BG:$BG,  "&gt;=2026/1/1",'Project Data'!$BG:$BG,  "&lt;=2026/12/31")</f>
        <v>0</v>
      </c>
      <c r="Q90" s="321">
        <f>SUMIFS('Project Data'!$BH:$BH, 'Project Data'!$BG:$BG,  "&gt;=2027/1/1",'Project Data'!$BG:$BG,  "&lt;=2027/12/31")</f>
        <v>0</v>
      </c>
      <c r="R90" s="321">
        <f>SUMIFS('Project Data'!$BH:$BH, 'Project Data'!$BG:$BG,  "&gt;=2028/1/1",'Project Data'!$BG:$BG,  "&lt;=2028/12/31")</f>
        <v>0</v>
      </c>
      <c r="S90" s="321">
        <f>SUMIFS('Project Data'!$BH:$BH, 'Project Data'!$BG:$BG,  "&gt;=2029/1/1",'Project Data'!$BG:$BG,  "&lt;=2029/12/31")</f>
        <v>0</v>
      </c>
      <c r="T90" s="321">
        <f>SUMIFS('Project Data'!$BH:$BH, 'Project Data'!$BG:$BG,  "&gt;=2030/1/1",'Project Data'!$BG:$BG,  "&lt;=2030/12/31")</f>
        <v>0</v>
      </c>
      <c r="U90" s="321">
        <f>SUM(C90:T90)</f>
        <v>25531</v>
      </c>
      <c r="V90" s="445"/>
    </row>
    <row r="91" spans="1:22" x14ac:dyDescent="0.2">
      <c r="A91" s="198"/>
      <c r="B91" s="324" t="s">
        <v>770</v>
      </c>
      <c r="C91" s="325">
        <f t="shared" ref="C91:U91" si="6">SUM(C89:C90)</f>
        <v>0</v>
      </c>
      <c r="D91" s="325">
        <f t="shared" si="6"/>
        <v>0</v>
      </c>
      <c r="E91" s="325">
        <f t="shared" si="6"/>
        <v>0</v>
      </c>
      <c r="F91" s="325">
        <f t="shared" si="6"/>
        <v>493</v>
      </c>
      <c r="G91" s="325">
        <f t="shared" si="6"/>
        <v>9253</v>
      </c>
      <c r="H91" s="325">
        <f t="shared" si="6"/>
        <v>12068</v>
      </c>
      <c r="I91" s="325">
        <f t="shared" si="6"/>
        <v>4472</v>
      </c>
      <c r="J91" s="325">
        <f t="shared" si="6"/>
        <v>58675</v>
      </c>
      <c r="K91" s="325">
        <f t="shared" si="6"/>
        <v>0</v>
      </c>
      <c r="L91" s="325">
        <f t="shared" si="6"/>
        <v>0</v>
      </c>
      <c r="M91" s="325">
        <f t="shared" si="6"/>
        <v>0</v>
      </c>
      <c r="N91" s="325">
        <f t="shared" si="6"/>
        <v>0</v>
      </c>
      <c r="O91" s="325">
        <f t="shared" si="6"/>
        <v>0</v>
      </c>
      <c r="P91" s="325">
        <f t="shared" si="6"/>
        <v>0</v>
      </c>
      <c r="Q91" s="325">
        <f t="shared" si="6"/>
        <v>0</v>
      </c>
      <c r="R91" s="325">
        <f t="shared" si="6"/>
        <v>0</v>
      </c>
      <c r="S91" s="325">
        <f t="shared" si="6"/>
        <v>0</v>
      </c>
      <c r="T91" s="325">
        <f t="shared" si="6"/>
        <v>0</v>
      </c>
      <c r="U91" s="325">
        <f t="shared" si="6"/>
        <v>84961</v>
      </c>
      <c r="V91" s="445"/>
    </row>
    <row r="92" spans="1:22" x14ac:dyDescent="0.2">
      <c r="A92" s="198"/>
      <c r="B92" s="152"/>
      <c r="C92" s="152"/>
      <c r="D92" s="153"/>
      <c r="E92" s="152"/>
      <c r="F92" s="152"/>
      <c r="G92" s="152"/>
      <c r="H92" s="152"/>
      <c r="I92" s="152"/>
      <c r="J92" s="152"/>
      <c r="K92" s="152"/>
      <c r="L92" s="152"/>
      <c r="M92" s="152"/>
      <c r="N92" s="152"/>
      <c r="O92" s="152"/>
      <c r="P92" s="152"/>
      <c r="Q92" s="152"/>
      <c r="R92" s="152"/>
      <c r="S92" s="152"/>
      <c r="T92" s="152"/>
      <c r="U92" s="152"/>
      <c r="V92" s="445"/>
    </row>
    <row r="93" spans="1:22" x14ac:dyDescent="0.2">
      <c r="A93" s="198"/>
      <c r="B93" s="152"/>
      <c r="C93" s="152"/>
      <c r="D93" s="153"/>
      <c r="E93" s="152"/>
      <c r="F93" s="152"/>
      <c r="G93" s="152"/>
      <c r="H93" s="152"/>
      <c r="I93" s="152"/>
      <c r="J93" s="152"/>
      <c r="K93" s="152"/>
      <c r="L93" s="152"/>
      <c r="M93" s="152"/>
      <c r="N93" s="152"/>
      <c r="O93" s="152"/>
      <c r="P93" s="152"/>
      <c r="Q93" s="152"/>
      <c r="R93" s="152"/>
      <c r="S93" s="152"/>
      <c r="T93" s="152"/>
      <c r="U93" s="152"/>
      <c r="V93" s="445"/>
    </row>
    <row r="94" spans="1:22" x14ac:dyDescent="0.2">
      <c r="A94" s="198"/>
      <c r="B94" s="165"/>
      <c r="C94" s="165"/>
      <c r="D94" s="160"/>
      <c r="E94" s="165"/>
      <c r="F94" s="165"/>
      <c r="G94" s="165"/>
      <c r="H94" s="165"/>
      <c r="I94" s="165"/>
      <c r="J94" s="165"/>
      <c r="K94" s="152"/>
      <c r="L94" s="152"/>
      <c r="M94" s="152"/>
      <c r="N94" s="152"/>
      <c r="O94" s="152"/>
      <c r="P94" s="152"/>
      <c r="Q94" s="152"/>
      <c r="R94" s="152"/>
      <c r="S94" s="152"/>
      <c r="T94" s="152"/>
      <c r="U94" s="152"/>
      <c r="V94" s="445"/>
    </row>
    <row r="95" spans="1:22" ht="19.5" x14ac:dyDescent="0.2">
      <c r="A95" s="198"/>
      <c r="B95" s="300" t="s">
        <v>1908</v>
      </c>
      <c r="C95" s="316"/>
      <c r="D95" s="318"/>
      <c r="E95" s="318"/>
      <c r="F95" s="318"/>
      <c r="G95" s="318"/>
      <c r="H95" s="318"/>
      <c r="I95" s="318"/>
      <c r="J95" s="320"/>
      <c r="K95" s="153"/>
      <c r="L95" s="152"/>
      <c r="M95" s="152"/>
      <c r="N95" s="152"/>
      <c r="O95" s="152"/>
      <c r="P95" s="152"/>
      <c r="Q95" s="152"/>
      <c r="R95" s="152"/>
      <c r="S95" s="152"/>
      <c r="T95" s="152"/>
      <c r="U95" s="152"/>
      <c r="V95" s="445"/>
    </row>
    <row r="96" spans="1:22" x14ac:dyDescent="0.2">
      <c r="A96" s="198"/>
      <c r="B96" s="177"/>
      <c r="C96" s="177"/>
      <c r="D96" s="334"/>
      <c r="E96" s="177"/>
      <c r="F96" s="177"/>
      <c r="G96" s="177"/>
      <c r="H96" s="177"/>
      <c r="I96" s="177"/>
      <c r="J96" s="177"/>
      <c r="K96" s="152"/>
      <c r="L96" s="152"/>
      <c r="M96" s="152"/>
      <c r="N96" s="152"/>
      <c r="O96" s="152"/>
      <c r="P96" s="152"/>
      <c r="Q96" s="152"/>
      <c r="R96" s="152"/>
      <c r="S96" s="152"/>
      <c r="T96" s="152"/>
      <c r="U96" s="152"/>
      <c r="V96" s="445"/>
    </row>
    <row r="97" spans="1:22" x14ac:dyDescent="0.2">
      <c r="A97" s="198"/>
      <c r="B97" s="152"/>
      <c r="C97" s="152"/>
      <c r="D97" s="153"/>
      <c r="E97" s="152"/>
      <c r="F97" s="152"/>
      <c r="G97" s="152"/>
      <c r="H97" s="152"/>
      <c r="I97" s="152"/>
      <c r="J97" s="152"/>
      <c r="K97" s="152"/>
      <c r="L97" s="152"/>
      <c r="M97" s="152"/>
      <c r="N97" s="152"/>
      <c r="O97" s="152"/>
      <c r="P97" s="152"/>
      <c r="Q97" s="152"/>
      <c r="R97" s="152"/>
      <c r="S97" s="152"/>
      <c r="T97" s="152"/>
      <c r="U97" s="152"/>
      <c r="V97" s="445"/>
    </row>
    <row r="98" spans="1:22" x14ac:dyDescent="0.2">
      <c r="A98" s="198"/>
      <c r="B98" s="152"/>
      <c r="C98" s="152"/>
      <c r="D98" s="153"/>
      <c r="E98" s="152"/>
      <c r="F98" s="152"/>
      <c r="G98" s="152"/>
      <c r="H98" s="152"/>
      <c r="I98" s="152"/>
      <c r="J98" s="152"/>
      <c r="K98" s="152"/>
      <c r="L98" s="152"/>
      <c r="M98" s="152"/>
      <c r="N98" s="152"/>
      <c r="O98" s="152"/>
      <c r="P98" s="152"/>
      <c r="Q98" s="152"/>
      <c r="R98" s="152"/>
      <c r="S98" s="152"/>
      <c r="T98" s="152"/>
      <c r="U98" s="152"/>
      <c r="V98" s="445"/>
    </row>
    <row r="99" spans="1:22" x14ac:dyDescent="0.2">
      <c r="A99" s="198"/>
      <c r="B99" s="152"/>
      <c r="C99" s="152"/>
      <c r="D99" s="153"/>
      <c r="E99" s="152"/>
      <c r="F99" s="152"/>
      <c r="G99" s="152"/>
      <c r="H99" s="152"/>
      <c r="I99" s="152"/>
      <c r="J99" s="152"/>
      <c r="K99" s="152"/>
      <c r="L99" s="152"/>
      <c r="M99" s="152"/>
      <c r="N99" s="152"/>
      <c r="O99" s="152"/>
      <c r="P99" s="152"/>
      <c r="Q99" s="152"/>
      <c r="R99" s="152"/>
      <c r="S99" s="152"/>
      <c r="T99" s="152"/>
      <c r="U99" s="152"/>
      <c r="V99" s="445"/>
    </row>
    <row r="100" spans="1:22" x14ac:dyDescent="0.2">
      <c r="A100" s="198"/>
      <c r="B100" s="152"/>
      <c r="C100" s="152"/>
      <c r="D100" s="153"/>
      <c r="E100" s="152"/>
      <c r="F100" s="152"/>
      <c r="G100" s="152"/>
      <c r="H100" s="152"/>
      <c r="I100" s="152"/>
      <c r="J100" s="152"/>
      <c r="K100" s="152"/>
      <c r="L100" s="152"/>
      <c r="M100" s="152"/>
      <c r="N100" s="152"/>
      <c r="O100" s="152"/>
      <c r="P100" s="152"/>
      <c r="Q100" s="152"/>
      <c r="R100" s="152"/>
      <c r="S100" s="152"/>
      <c r="T100" s="152"/>
      <c r="U100" s="152"/>
      <c r="V100" s="445"/>
    </row>
    <row r="101" spans="1:22" x14ac:dyDescent="0.2">
      <c r="A101" s="198"/>
      <c r="B101" s="152"/>
      <c r="C101" s="152"/>
      <c r="D101" s="153"/>
      <c r="E101" s="152"/>
      <c r="F101" s="152"/>
      <c r="G101" s="152"/>
      <c r="H101" s="152"/>
      <c r="I101" s="152"/>
      <c r="J101" s="152"/>
      <c r="K101" s="152"/>
      <c r="L101" s="152"/>
      <c r="M101" s="152"/>
      <c r="N101" s="152"/>
      <c r="O101" s="152"/>
      <c r="P101" s="152"/>
      <c r="Q101" s="152"/>
      <c r="R101" s="152"/>
      <c r="S101" s="152"/>
      <c r="T101" s="152"/>
      <c r="U101" s="152"/>
      <c r="V101" s="445"/>
    </row>
    <row r="102" spans="1:22" x14ac:dyDescent="0.2">
      <c r="A102" s="198"/>
      <c r="B102" s="152"/>
      <c r="C102" s="152"/>
      <c r="D102" s="153"/>
      <c r="E102" s="152"/>
      <c r="F102" s="152"/>
      <c r="G102" s="152"/>
      <c r="H102" s="152"/>
      <c r="I102" s="152"/>
      <c r="J102" s="152"/>
      <c r="K102" s="152"/>
      <c r="L102" s="152"/>
      <c r="M102" s="152"/>
      <c r="N102" s="152"/>
      <c r="O102" s="152"/>
      <c r="P102" s="152"/>
      <c r="Q102" s="152"/>
      <c r="R102" s="152"/>
      <c r="S102" s="152"/>
      <c r="T102" s="152"/>
      <c r="U102" s="152"/>
      <c r="V102" s="445"/>
    </row>
    <row r="103" spans="1:22" x14ac:dyDescent="0.2">
      <c r="A103" s="198"/>
      <c r="B103" s="152"/>
      <c r="C103" s="152"/>
      <c r="D103" s="153"/>
      <c r="E103" s="152"/>
      <c r="F103" s="152"/>
      <c r="G103" s="152"/>
      <c r="H103" s="152"/>
      <c r="I103" s="152"/>
      <c r="J103" s="152"/>
      <c r="K103" s="152"/>
      <c r="L103" s="152"/>
      <c r="M103" s="152"/>
      <c r="N103" s="152"/>
      <c r="O103" s="152"/>
      <c r="P103" s="152"/>
      <c r="Q103" s="152"/>
      <c r="R103" s="152"/>
      <c r="S103" s="152"/>
      <c r="T103" s="152"/>
      <c r="U103" s="152"/>
      <c r="V103" s="445"/>
    </row>
    <row r="104" spans="1:22" x14ac:dyDescent="0.2">
      <c r="A104" s="198"/>
      <c r="B104" s="152"/>
      <c r="C104" s="152"/>
      <c r="D104" s="153"/>
      <c r="E104" s="152"/>
      <c r="F104" s="152"/>
      <c r="G104" s="152"/>
      <c r="H104" s="152"/>
      <c r="I104" s="152"/>
      <c r="J104" s="152"/>
      <c r="K104" s="152"/>
      <c r="L104" s="152"/>
      <c r="M104" s="152"/>
      <c r="N104" s="152"/>
      <c r="O104" s="152"/>
      <c r="P104" s="152"/>
      <c r="Q104" s="152"/>
      <c r="R104" s="152"/>
      <c r="S104" s="152"/>
      <c r="T104" s="152"/>
      <c r="U104" s="152"/>
      <c r="V104" s="445"/>
    </row>
    <row r="105" spans="1:22" x14ac:dyDescent="0.2">
      <c r="A105" s="198"/>
      <c r="B105" s="152"/>
      <c r="C105" s="152"/>
      <c r="D105" s="153"/>
      <c r="E105" s="152"/>
      <c r="F105" s="152"/>
      <c r="G105" s="152"/>
      <c r="H105" s="152"/>
      <c r="I105" s="152"/>
      <c r="J105" s="152"/>
      <c r="K105" s="152"/>
      <c r="L105" s="152"/>
      <c r="M105" s="152"/>
      <c r="N105" s="152"/>
      <c r="O105" s="152"/>
      <c r="P105" s="152"/>
      <c r="Q105" s="152"/>
      <c r="R105" s="152"/>
      <c r="S105" s="152"/>
      <c r="T105" s="152"/>
      <c r="U105" s="152"/>
      <c r="V105" s="445"/>
    </row>
    <row r="106" spans="1:22" x14ac:dyDescent="0.2">
      <c r="A106" s="198"/>
      <c r="B106" s="152"/>
      <c r="C106" s="152"/>
      <c r="D106" s="153"/>
      <c r="E106" s="152"/>
      <c r="F106" s="152"/>
      <c r="G106" s="152"/>
      <c r="H106" s="152"/>
      <c r="I106" s="152"/>
      <c r="J106" s="152"/>
      <c r="K106" s="152"/>
      <c r="L106" s="152"/>
      <c r="M106" s="152"/>
      <c r="N106" s="152"/>
      <c r="O106" s="152"/>
      <c r="P106" s="152"/>
      <c r="Q106" s="152"/>
      <c r="R106" s="152"/>
      <c r="S106" s="152"/>
      <c r="T106" s="152"/>
      <c r="U106" s="152"/>
      <c r="V106" s="445"/>
    </row>
    <row r="107" spans="1:22" x14ac:dyDescent="0.2">
      <c r="A107" s="198"/>
      <c r="B107" s="152"/>
      <c r="C107" s="152"/>
      <c r="D107" s="153"/>
      <c r="E107" s="152"/>
      <c r="F107" s="152"/>
      <c r="G107" s="152"/>
      <c r="H107" s="152"/>
      <c r="I107" s="152"/>
      <c r="J107" s="152"/>
      <c r="K107" s="152"/>
      <c r="L107" s="152"/>
      <c r="M107" s="152"/>
      <c r="N107" s="152"/>
      <c r="O107" s="152"/>
      <c r="P107" s="152"/>
      <c r="Q107" s="152"/>
      <c r="R107" s="152"/>
      <c r="S107" s="152"/>
      <c r="T107" s="152"/>
      <c r="U107" s="152"/>
      <c r="V107" s="445"/>
    </row>
    <row r="108" spans="1:22" x14ac:dyDescent="0.2">
      <c r="A108" s="198"/>
      <c r="B108" s="152"/>
      <c r="C108" s="152"/>
      <c r="D108" s="153"/>
      <c r="E108" s="152"/>
      <c r="F108" s="152"/>
      <c r="G108" s="152"/>
      <c r="H108" s="152"/>
      <c r="I108" s="152"/>
      <c r="J108" s="152"/>
      <c r="K108" s="152"/>
      <c r="L108" s="152"/>
      <c r="M108" s="152"/>
      <c r="N108" s="152"/>
      <c r="O108" s="152"/>
      <c r="P108" s="152"/>
      <c r="Q108" s="152"/>
      <c r="R108" s="152"/>
      <c r="S108" s="152"/>
      <c r="T108" s="152"/>
      <c r="U108" s="152"/>
      <c r="V108" s="445"/>
    </row>
    <row r="109" spans="1:22" x14ac:dyDescent="0.2">
      <c r="A109" s="198"/>
      <c r="B109" s="152"/>
      <c r="C109" s="152"/>
      <c r="D109" s="153"/>
      <c r="E109" s="152"/>
      <c r="F109" s="152"/>
      <c r="G109" s="152"/>
      <c r="H109" s="152"/>
      <c r="I109" s="152"/>
      <c r="J109" s="152"/>
      <c r="K109" s="152"/>
      <c r="L109" s="152"/>
      <c r="M109" s="152"/>
      <c r="N109" s="152"/>
      <c r="O109" s="152"/>
      <c r="P109" s="152"/>
      <c r="Q109" s="152"/>
      <c r="R109" s="152"/>
      <c r="S109" s="152"/>
      <c r="T109" s="152"/>
      <c r="U109" s="152"/>
      <c r="V109" s="445"/>
    </row>
    <row r="110" spans="1:22" x14ac:dyDescent="0.2">
      <c r="A110" s="198"/>
      <c r="B110" s="152"/>
      <c r="C110" s="152"/>
      <c r="D110" s="153"/>
      <c r="E110" s="152"/>
      <c r="F110" s="152"/>
      <c r="G110" s="152"/>
      <c r="H110" s="152"/>
      <c r="I110" s="152"/>
      <c r="J110" s="152"/>
      <c r="K110" s="152"/>
      <c r="L110" s="152"/>
      <c r="M110" s="152"/>
      <c r="N110" s="152"/>
      <c r="O110" s="152"/>
      <c r="P110" s="152"/>
      <c r="Q110" s="152"/>
      <c r="R110" s="152"/>
      <c r="S110" s="152"/>
      <c r="T110" s="152"/>
      <c r="U110" s="152"/>
      <c r="V110" s="445"/>
    </row>
    <row r="111" spans="1:22" x14ac:dyDescent="0.2">
      <c r="A111" s="198"/>
      <c r="B111" s="152"/>
      <c r="C111" s="152"/>
      <c r="D111" s="153"/>
      <c r="E111" s="152"/>
      <c r="F111" s="152"/>
      <c r="G111" s="152"/>
      <c r="H111" s="152"/>
      <c r="I111" s="152"/>
      <c r="J111" s="152"/>
      <c r="K111" s="152"/>
      <c r="L111" s="152"/>
      <c r="M111" s="152"/>
      <c r="N111" s="152"/>
      <c r="O111" s="152"/>
      <c r="P111" s="152"/>
      <c r="Q111" s="152"/>
      <c r="R111" s="152"/>
      <c r="S111" s="152"/>
      <c r="T111" s="152"/>
      <c r="U111" s="152"/>
      <c r="V111" s="445"/>
    </row>
    <row r="112" spans="1:22" x14ac:dyDescent="0.2">
      <c r="A112" s="198"/>
      <c r="B112" s="152"/>
      <c r="C112" s="152"/>
      <c r="D112" s="153"/>
      <c r="E112" s="152"/>
      <c r="F112" s="152"/>
      <c r="G112" s="152"/>
      <c r="H112" s="152"/>
      <c r="I112" s="152"/>
      <c r="J112" s="152"/>
      <c r="K112" s="152"/>
      <c r="L112" s="152"/>
      <c r="M112" s="152"/>
      <c r="N112" s="152"/>
      <c r="O112" s="152"/>
      <c r="P112" s="152"/>
      <c r="Q112" s="152"/>
      <c r="R112" s="152"/>
      <c r="S112" s="152"/>
      <c r="T112" s="152"/>
      <c r="U112" s="152"/>
      <c r="V112" s="445"/>
    </row>
    <row r="113" spans="1:22" x14ac:dyDescent="0.2">
      <c r="A113" s="198"/>
      <c r="B113" s="152"/>
      <c r="C113" s="152"/>
      <c r="D113" s="153"/>
      <c r="E113" s="152"/>
      <c r="F113" s="152"/>
      <c r="G113" s="152"/>
      <c r="H113" s="152"/>
      <c r="I113" s="152"/>
      <c r="J113" s="152"/>
      <c r="K113" s="152"/>
      <c r="L113" s="152"/>
      <c r="M113" s="152"/>
      <c r="N113" s="152"/>
      <c r="O113" s="152"/>
      <c r="P113" s="152"/>
      <c r="Q113" s="152"/>
      <c r="R113" s="152"/>
      <c r="S113" s="152"/>
      <c r="T113" s="152"/>
      <c r="U113" s="152"/>
      <c r="V113" s="445"/>
    </row>
    <row r="114" spans="1:22" x14ac:dyDescent="0.2">
      <c r="A114" s="198"/>
      <c r="B114" s="152"/>
      <c r="C114" s="152"/>
      <c r="D114" s="153"/>
      <c r="E114" s="152"/>
      <c r="F114" s="152"/>
      <c r="G114" s="152"/>
      <c r="H114" s="152"/>
      <c r="I114" s="152"/>
      <c r="J114" s="152"/>
      <c r="K114" s="152"/>
      <c r="L114" s="152"/>
      <c r="M114" s="152"/>
      <c r="N114" s="152"/>
      <c r="O114" s="152"/>
      <c r="P114" s="152"/>
      <c r="Q114" s="152"/>
      <c r="R114" s="152"/>
      <c r="S114" s="152"/>
      <c r="T114" s="152"/>
      <c r="U114" s="152"/>
      <c r="V114" s="445"/>
    </row>
    <row r="115" spans="1:22" x14ac:dyDescent="0.2">
      <c r="A115" s="198"/>
      <c r="B115" s="152"/>
      <c r="C115" s="152"/>
      <c r="D115" s="153"/>
      <c r="E115" s="152"/>
      <c r="F115" s="152"/>
      <c r="G115" s="152"/>
      <c r="H115" s="152"/>
      <c r="I115" s="152"/>
      <c r="J115" s="152"/>
      <c r="K115" s="152"/>
      <c r="L115" s="152"/>
      <c r="M115" s="152"/>
      <c r="N115" s="152"/>
      <c r="O115" s="152"/>
      <c r="P115" s="152"/>
      <c r="Q115" s="152"/>
      <c r="R115" s="152"/>
      <c r="S115" s="152"/>
      <c r="T115" s="152"/>
      <c r="U115" s="152"/>
      <c r="V115" s="445"/>
    </row>
    <row r="116" spans="1:22" x14ac:dyDescent="0.2">
      <c r="A116" s="198"/>
      <c r="B116" s="152"/>
      <c r="C116" s="152"/>
      <c r="D116" s="153"/>
      <c r="E116" s="152"/>
      <c r="F116" s="152"/>
      <c r="G116" s="152"/>
      <c r="H116" s="152"/>
      <c r="I116" s="152"/>
      <c r="J116" s="152"/>
      <c r="K116" s="152"/>
      <c r="L116" s="152"/>
      <c r="M116" s="152"/>
      <c r="N116" s="152"/>
      <c r="O116" s="152"/>
      <c r="P116" s="152"/>
      <c r="Q116" s="152"/>
      <c r="R116" s="152"/>
      <c r="S116" s="152"/>
      <c r="T116" s="152"/>
      <c r="U116" s="152"/>
      <c r="V116" s="445"/>
    </row>
    <row r="117" spans="1:22" x14ac:dyDescent="0.2">
      <c r="A117" s="198"/>
      <c r="B117" s="152"/>
      <c r="C117" s="152"/>
      <c r="D117" s="153"/>
      <c r="E117" s="152"/>
      <c r="F117" s="152"/>
      <c r="G117" s="152"/>
      <c r="H117" s="152"/>
      <c r="I117" s="152"/>
      <c r="J117" s="152"/>
      <c r="K117" s="152"/>
      <c r="L117" s="152"/>
      <c r="M117" s="152"/>
      <c r="N117" s="152"/>
      <c r="O117" s="152"/>
      <c r="P117" s="152"/>
      <c r="Q117" s="152"/>
      <c r="R117" s="152"/>
      <c r="S117" s="152"/>
      <c r="T117" s="152"/>
      <c r="U117" s="152"/>
      <c r="V117" s="445"/>
    </row>
    <row r="118" spans="1:22" x14ac:dyDescent="0.2">
      <c r="A118" s="198"/>
      <c r="B118" s="152"/>
      <c r="C118" s="152"/>
      <c r="D118" s="153"/>
      <c r="E118" s="152"/>
      <c r="F118" s="152"/>
      <c r="G118" s="152"/>
      <c r="H118" s="152"/>
      <c r="I118" s="152"/>
      <c r="J118" s="152"/>
      <c r="K118" s="152"/>
      <c r="L118" s="152"/>
      <c r="M118" s="152"/>
      <c r="N118" s="152"/>
      <c r="O118" s="152"/>
      <c r="P118" s="152"/>
      <c r="Q118" s="152"/>
      <c r="R118" s="152"/>
      <c r="S118" s="152"/>
      <c r="T118" s="152"/>
      <c r="U118" s="152"/>
      <c r="V118" s="445"/>
    </row>
    <row r="119" spans="1:22" x14ac:dyDescent="0.2">
      <c r="A119" s="198"/>
      <c r="B119" s="152"/>
      <c r="C119" s="152"/>
      <c r="D119" s="153"/>
      <c r="E119" s="152"/>
      <c r="F119" s="152"/>
      <c r="G119" s="152"/>
      <c r="H119" s="152"/>
      <c r="I119" s="152"/>
      <c r="J119" s="152"/>
      <c r="K119" s="152"/>
      <c r="L119" s="152"/>
      <c r="M119" s="152"/>
      <c r="N119" s="152"/>
      <c r="O119" s="152"/>
      <c r="P119" s="152"/>
      <c r="Q119" s="152"/>
      <c r="R119" s="152"/>
      <c r="S119" s="152"/>
      <c r="T119" s="152"/>
      <c r="U119" s="152"/>
      <c r="V119" s="445"/>
    </row>
    <row r="120" spans="1:22" x14ac:dyDescent="0.2">
      <c r="A120" s="198"/>
      <c r="B120" s="152"/>
      <c r="C120" s="152"/>
      <c r="D120" s="153"/>
      <c r="E120" s="152"/>
      <c r="F120" s="152"/>
      <c r="G120" s="152"/>
      <c r="H120" s="152"/>
      <c r="I120" s="152"/>
      <c r="J120" s="152"/>
      <c r="K120" s="152"/>
      <c r="L120" s="152"/>
      <c r="M120" s="152"/>
      <c r="N120" s="152"/>
      <c r="O120" s="152"/>
      <c r="P120" s="152"/>
      <c r="Q120" s="152"/>
      <c r="R120" s="152"/>
      <c r="S120" s="152"/>
      <c r="T120" s="152"/>
      <c r="U120" s="152"/>
      <c r="V120" s="445"/>
    </row>
    <row r="121" spans="1:22" x14ac:dyDescent="0.2">
      <c r="A121" s="198"/>
      <c r="B121" s="152"/>
      <c r="C121" s="152"/>
      <c r="D121" s="153"/>
      <c r="E121" s="152"/>
      <c r="F121" s="152"/>
      <c r="G121" s="152"/>
      <c r="H121" s="152"/>
      <c r="I121" s="152"/>
      <c r="J121" s="152"/>
      <c r="K121" s="152"/>
      <c r="L121" s="152"/>
      <c r="M121" s="152"/>
      <c r="N121" s="152"/>
      <c r="O121" s="152"/>
      <c r="P121" s="152"/>
      <c r="Q121" s="152"/>
      <c r="R121" s="152"/>
      <c r="S121" s="152"/>
      <c r="T121" s="152"/>
      <c r="U121" s="152"/>
      <c r="V121" s="445"/>
    </row>
    <row r="122" spans="1:22" x14ac:dyDescent="0.2">
      <c r="A122" s="198"/>
      <c r="B122" s="152"/>
      <c r="C122" s="152"/>
      <c r="D122" s="153"/>
      <c r="E122" s="152"/>
      <c r="F122" s="152"/>
      <c r="G122" s="152"/>
      <c r="H122" s="152"/>
      <c r="I122" s="152"/>
      <c r="J122" s="152"/>
      <c r="K122" s="152"/>
      <c r="L122" s="152"/>
      <c r="M122" s="152"/>
      <c r="N122" s="152"/>
      <c r="O122" s="152"/>
      <c r="P122" s="152"/>
      <c r="Q122" s="152"/>
      <c r="R122" s="152"/>
      <c r="S122" s="152"/>
      <c r="T122" s="152"/>
      <c r="U122" s="152"/>
      <c r="V122" s="445"/>
    </row>
    <row r="123" spans="1:22" x14ac:dyDescent="0.2">
      <c r="A123" s="198"/>
      <c r="B123" s="152"/>
      <c r="C123" s="152"/>
      <c r="D123" s="153"/>
      <c r="E123" s="165"/>
      <c r="F123" s="164"/>
      <c r="G123" s="164"/>
      <c r="H123" s="164"/>
      <c r="I123" s="165"/>
      <c r="J123" s="165"/>
      <c r="K123" s="152"/>
      <c r="L123" s="152"/>
      <c r="M123" s="152"/>
      <c r="N123" s="152"/>
      <c r="O123" s="152"/>
      <c r="P123" s="152"/>
      <c r="Q123" s="152"/>
      <c r="R123" s="152"/>
      <c r="S123" s="152"/>
      <c r="T123" s="152"/>
      <c r="U123" s="152"/>
      <c r="V123" s="445"/>
    </row>
    <row r="124" spans="1:22" x14ac:dyDescent="0.2">
      <c r="A124" s="198"/>
      <c r="B124" s="597" t="s">
        <v>1909</v>
      </c>
      <c r="C124" s="598"/>
      <c r="D124" s="153"/>
      <c r="E124" s="599" t="s">
        <v>1910</v>
      </c>
      <c r="F124" s="600"/>
      <c r="G124" s="600"/>
      <c r="H124" s="600"/>
      <c r="I124" s="600"/>
      <c r="J124" s="601"/>
      <c r="K124" s="153"/>
      <c r="L124" s="152"/>
      <c r="M124" s="152"/>
      <c r="N124" s="152"/>
      <c r="O124" s="152"/>
      <c r="P124" s="152"/>
      <c r="Q124" s="152"/>
      <c r="R124" s="152"/>
      <c r="S124" s="152"/>
      <c r="T124" s="152"/>
      <c r="U124" s="152"/>
      <c r="V124" s="445"/>
    </row>
    <row r="125" spans="1:22" ht="28.5" x14ac:dyDescent="0.2">
      <c r="A125" s="198"/>
      <c r="B125" s="335" t="s">
        <v>1093</v>
      </c>
      <c r="C125" s="336" t="s">
        <v>1094</v>
      </c>
      <c r="D125" s="153"/>
      <c r="E125" s="177"/>
      <c r="F125" s="177"/>
      <c r="G125" s="177"/>
      <c r="H125" s="177"/>
      <c r="I125" s="177"/>
      <c r="J125" s="177"/>
      <c r="K125" s="152"/>
      <c r="L125" s="152"/>
      <c r="M125" s="152"/>
      <c r="N125" s="152"/>
      <c r="O125" s="152"/>
      <c r="P125" s="152"/>
      <c r="Q125" s="152"/>
      <c r="R125" s="152"/>
      <c r="S125" s="152"/>
      <c r="T125" s="152"/>
      <c r="U125" s="152"/>
      <c r="V125" s="445"/>
    </row>
    <row r="126" spans="1:22" x14ac:dyDescent="0.2">
      <c r="A126" s="198"/>
      <c r="B126" s="307" t="s">
        <v>1095</v>
      </c>
      <c r="C126" s="307">
        <f>COUNTIF('Project Data'!$AF:$AF, "&lt;=30")</f>
        <v>16</v>
      </c>
      <c r="D126" s="153"/>
      <c r="E126" s="152"/>
      <c r="F126" s="152"/>
      <c r="G126" s="152"/>
      <c r="H126" s="152"/>
      <c r="I126" s="152"/>
      <c r="J126" s="152"/>
      <c r="K126" s="152"/>
      <c r="L126" s="152"/>
      <c r="M126" s="152"/>
      <c r="N126" s="152"/>
      <c r="O126" s="152"/>
      <c r="P126" s="152"/>
      <c r="Q126" s="152"/>
      <c r="R126" s="152"/>
      <c r="S126" s="152"/>
      <c r="T126" s="152"/>
      <c r="U126" s="152"/>
      <c r="V126" s="445"/>
    </row>
    <row r="127" spans="1:22" x14ac:dyDescent="0.2">
      <c r="A127" s="198"/>
      <c r="B127" s="307" t="s">
        <v>782</v>
      </c>
      <c r="C127" s="307">
        <f>COUNTIFS('Project Data'!$AF:$AF, "&gt;30", 'Project Data'!$AF:$AF, "&lt;=180")</f>
        <v>39</v>
      </c>
      <c r="D127" s="153"/>
      <c r="E127" s="152"/>
      <c r="F127" s="152"/>
      <c r="G127" s="152"/>
      <c r="H127" s="152"/>
      <c r="I127" s="152"/>
      <c r="J127" s="152"/>
      <c r="K127" s="152"/>
      <c r="L127" s="152"/>
      <c r="M127" s="152"/>
      <c r="N127" s="152"/>
      <c r="O127" s="152"/>
      <c r="P127" s="152"/>
      <c r="Q127" s="152"/>
      <c r="R127" s="152"/>
      <c r="S127" s="152"/>
      <c r="T127" s="152"/>
      <c r="U127" s="152"/>
      <c r="V127" s="445"/>
    </row>
    <row r="128" spans="1:22" x14ac:dyDescent="0.2">
      <c r="A128" s="198"/>
      <c r="B128" s="307" t="s">
        <v>784</v>
      </c>
      <c r="C128" s="307">
        <f>COUNTIF('Project Data'!$AF:$AF,"&gt;180")</f>
        <v>10</v>
      </c>
      <c r="D128" s="153"/>
      <c r="E128" s="152"/>
      <c r="F128" s="152"/>
      <c r="G128" s="152"/>
      <c r="H128" s="152"/>
      <c r="I128" s="152"/>
      <c r="J128" s="152"/>
      <c r="K128" s="152"/>
      <c r="L128" s="152"/>
      <c r="M128" s="152"/>
      <c r="N128" s="152"/>
      <c r="O128" s="152"/>
      <c r="P128" s="152"/>
      <c r="Q128" s="152"/>
      <c r="R128" s="152"/>
      <c r="S128" s="152"/>
      <c r="T128" s="152"/>
      <c r="U128" s="152"/>
      <c r="V128" s="445"/>
    </row>
    <row r="129" spans="1:22" x14ac:dyDescent="0.2">
      <c r="A129" s="198"/>
      <c r="B129" s="307" t="s">
        <v>1096</v>
      </c>
      <c r="C129" s="337">
        <f>AVERAGE('Project Data'!$AF:$AF)</f>
        <v>109.53125</v>
      </c>
      <c r="D129" s="160"/>
      <c r="E129" s="165"/>
      <c r="F129" s="152"/>
      <c r="G129" s="152"/>
      <c r="H129" s="152"/>
      <c r="I129" s="152"/>
      <c r="J129" s="152"/>
      <c r="K129" s="152"/>
      <c r="L129" s="152"/>
      <c r="M129" s="152"/>
      <c r="N129" s="152"/>
      <c r="O129" s="152"/>
      <c r="P129" s="152"/>
      <c r="Q129" s="152"/>
      <c r="R129" s="152"/>
      <c r="S129" s="152"/>
      <c r="T129" s="152"/>
      <c r="U129" s="152"/>
      <c r="V129" s="445"/>
    </row>
    <row r="130" spans="1:22" x14ac:dyDescent="0.2">
      <c r="A130" s="198"/>
      <c r="B130" s="177"/>
      <c r="C130" s="177"/>
      <c r="D130" s="152"/>
      <c r="E130" s="152"/>
      <c r="F130" s="152"/>
      <c r="G130" s="152"/>
      <c r="H130" s="152"/>
      <c r="I130" s="152"/>
      <c r="J130" s="152"/>
      <c r="K130" s="152"/>
      <c r="L130" s="152"/>
      <c r="M130" s="152"/>
      <c r="N130" s="152"/>
      <c r="O130" s="152"/>
      <c r="P130" s="152"/>
      <c r="Q130" s="152"/>
      <c r="R130" s="152"/>
      <c r="S130" s="152"/>
      <c r="T130" s="152"/>
      <c r="U130" s="152"/>
      <c r="V130" s="445"/>
    </row>
    <row r="131" spans="1:22" x14ac:dyDescent="0.2">
      <c r="A131" s="198"/>
      <c r="B131" s="165"/>
      <c r="C131" s="165"/>
      <c r="D131" s="165"/>
      <c r="E131" s="165"/>
      <c r="F131" s="152"/>
      <c r="G131" s="152"/>
      <c r="H131" s="152"/>
      <c r="I131" s="152"/>
      <c r="J131" s="152"/>
      <c r="K131" s="152"/>
      <c r="L131" s="152"/>
      <c r="M131" s="152"/>
      <c r="N131" s="152"/>
      <c r="O131" s="152"/>
      <c r="P131" s="152"/>
      <c r="Q131" s="152"/>
      <c r="R131" s="152"/>
      <c r="S131" s="152"/>
      <c r="T131" s="152"/>
      <c r="U131" s="152"/>
      <c r="V131" s="445"/>
    </row>
    <row r="132" spans="1:22" x14ac:dyDescent="0.2">
      <c r="A132" s="198"/>
      <c r="B132" s="152"/>
      <c r="C132" s="152"/>
      <c r="D132" s="152"/>
      <c r="E132" s="152"/>
      <c r="F132" s="152"/>
      <c r="G132" s="152"/>
      <c r="H132" s="152"/>
      <c r="I132" s="152"/>
      <c r="J132" s="152"/>
      <c r="K132" s="152"/>
      <c r="L132" s="152"/>
      <c r="M132" s="152"/>
      <c r="N132" s="152"/>
      <c r="O132" s="152"/>
      <c r="P132" s="152"/>
      <c r="Q132" s="152"/>
      <c r="R132" s="152"/>
      <c r="S132" s="152"/>
      <c r="T132" s="152"/>
      <c r="U132" s="152"/>
      <c r="V132" s="445"/>
    </row>
    <row r="133" spans="1:22" x14ac:dyDescent="0.2">
      <c r="A133" s="198"/>
      <c r="B133" s="152"/>
      <c r="C133" s="152"/>
      <c r="D133" s="152"/>
      <c r="E133" s="152"/>
      <c r="F133" s="152"/>
      <c r="G133" s="152"/>
      <c r="H133" s="152"/>
      <c r="I133" s="152"/>
      <c r="J133" s="152"/>
      <c r="K133" s="152"/>
      <c r="L133" s="152"/>
      <c r="M133" s="152"/>
      <c r="N133" s="152"/>
      <c r="O133" s="152"/>
      <c r="P133" s="152"/>
      <c r="Q133" s="152"/>
      <c r="R133" s="152"/>
      <c r="S133" s="152"/>
      <c r="T133" s="152"/>
      <c r="U133" s="152"/>
      <c r="V133" s="445"/>
    </row>
    <row r="134" spans="1:22" x14ac:dyDescent="0.2">
      <c r="A134" s="198"/>
      <c r="B134" s="152"/>
      <c r="C134" s="152"/>
      <c r="D134" s="152"/>
      <c r="E134" s="152"/>
      <c r="F134" s="152"/>
      <c r="G134" s="152"/>
      <c r="H134" s="152"/>
      <c r="I134" s="152"/>
      <c r="J134" s="177"/>
      <c r="K134" s="152"/>
      <c r="L134" s="152"/>
      <c r="M134" s="152"/>
      <c r="N134" s="152"/>
      <c r="O134" s="152"/>
      <c r="P134" s="152"/>
      <c r="Q134" s="152"/>
      <c r="R134" s="152"/>
      <c r="S134" s="152"/>
      <c r="T134" s="152"/>
      <c r="U134" s="152"/>
      <c r="V134" s="445"/>
    </row>
    <row r="135" spans="1:22" x14ac:dyDescent="0.2">
      <c r="A135" s="196"/>
      <c r="B135" s="152"/>
      <c r="C135" s="152"/>
      <c r="D135" s="152"/>
      <c r="E135" s="152"/>
      <c r="F135" s="152"/>
      <c r="G135" s="152"/>
      <c r="H135" s="152"/>
      <c r="I135" s="152"/>
      <c r="J135" s="152"/>
      <c r="K135" s="177"/>
      <c r="L135" s="177"/>
      <c r="M135" s="177"/>
      <c r="N135" s="177"/>
      <c r="O135" s="177"/>
      <c r="P135" s="177"/>
      <c r="Q135" s="177"/>
      <c r="R135" s="177"/>
      <c r="S135" s="177"/>
      <c r="T135" s="177"/>
      <c r="U135" s="177"/>
      <c r="V135" s="445"/>
    </row>
    <row r="136" spans="1:22" x14ac:dyDescent="0.2">
      <c r="A136" s="196"/>
      <c r="B136" s="152"/>
      <c r="C136" s="152"/>
      <c r="D136" s="152"/>
      <c r="E136" s="152"/>
      <c r="F136" s="152"/>
      <c r="G136" s="152"/>
      <c r="H136" s="152"/>
      <c r="I136" s="152"/>
      <c r="J136" s="152"/>
      <c r="K136" s="152"/>
      <c r="L136" s="152"/>
      <c r="M136" s="152"/>
      <c r="N136" s="152"/>
      <c r="O136" s="152"/>
      <c r="P136" s="152"/>
      <c r="Q136" s="152"/>
      <c r="R136" s="152"/>
      <c r="S136" s="152"/>
      <c r="T136" s="152"/>
      <c r="U136" s="152"/>
      <c r="V136" s="445"/>
    </row>
    <row r="137" spans="1:22" x14ac:dyDescent="0.2">
      <c r="A137" s="196"/>
      <c r="B137" s="152"/>
      <c r="C137" s="152"/>
      <c r="D137" s="152"/>
      <c r="E137" s="152"/>
      <c r="F137" s="152"/>
      <c r="G137" s="152"/>
      <c r="H137" s="152"/>
      <c r="I137" s="152"/>
      <c r="J137" s="152"/>
      <c r="K137" s="152"/>
      <c r="L137" s="152"/>
      <c r="M137" s="152"/>
      <c r="N137" s="152"/>
      <c r="O137" s="152"/>
      <c r="P137" s="152"/>
      <c r="Q137" s="152"/>
      <c r="R137" s="152"/>
      <c r="S137" s="152"/>
      <c r="T137" s="152"/>
      <c r="U137" s="152"/>
      <c r="V137" s="445"/>
    </row>
    <row r="138" spans="1:22" x14ac:dyDescent="0.2">
      <c r="A138" s="196"/>
      <c r="B138" s="152"/>
      <c r="C138" s="152"/>
      <c r="D138" s="152"/>
      <c r="E138" s="152"/>
      <c r="F138" s="152"/>
      <c r="G138" s="152"/>
      <c r="H138" s="152"/>
      <c r="I138" s="152"/>
      <c r="J138" s="152"/>
      <c r="K138" s="152"/>
      <c r="L138" s="152"/>
      <c r="M138" s="152"/>
      <c r="N138" s="152"/>
      <c r="O138" s="152"/>
      <c r="P138" s="152"/>
      <c r="Q138" s="152"/>
      <c r="R138" s="152"/>
      <c r="S138" s="152"/>
      <c r="T138" s="152"/>
      <c r="U138" s="152"/>
      <c r="V138" s="445"/>
    </row>
    <row r="139" spans="1:22" x14ac:dyDescent="0.2">
      <c r="A139" s="196"/>
      <c r="B139" s="177"/>
      <c r="C139" s="177"/>
      <c r="D139" s="177"/>
      <c r="E139" s="177"/>
      <c r="F139" s="152"/>
      <c r="G139" s="152"/>
      <c r="H139" s="152"/>
      <c r="I139" s="152"/>
      <c r="J139" s="152"/>
      <c r="K139" s="152"/>
      <c r="L139" s="152"/>
      <c r="M139" s="152"/>
      <c r="N139" s="152"/>
      <c r="O139" s="152"/>
      <c r="P139" s="152"/>
      <c r="Q139" s="152"/>
      <c r="R139" s="152"/>
      <c r="S139" s="152"/>
      <c r="T139" s="152"/>
      <c r="U139" s="152"/>
      <c r="V139" s="445"/>
    </row>
    <row r="140" spans="1:22" x14ac:dyDescent="0.2">
      <c r="A140" s="196"/>
      <c r="B140" s="152"/>
      <c r="C140" s="152"/>
      <c r="D140" s="152"/>
      <c r="E140" s="152"/>
      <c r="F140" s="152"/>
      <c r="G140" s="152"/>
      <c r="H140" s="152"/>
      <c r="I140" s="152"/>
      <c r="J140" s="152"/>
      <c r="K140" s="152"/>
      <c r="L140" s="152"/>
      <c r="M140" s="152"/>
      <c r="N140" s="152"/>
      <c r="O140" s="152"/>
      <c r="P140" s="152"/>
      <c r="Q140" s="152"/>
      <c r="R140" s="152"/>
      <c r="S140" s="152"/>
      <c r="T140" s="152"/>
      <c r="U140" s="152"/>
      <c r="V140" s="445"/>
    </row>
    <row r="141" spans="1:22" x14ac:dyDescent="0.2">
      <c r="A141" s="196"/>
      <c r="B141" s="152"/>
      <c r="C141" s="152"/>
      <c r="D141" s="152"/>
      <c r="E141" s="152"/>
      <c r="F141" s="152"/>
      <c r="G141" s="152"/>
      <c r="H141" s="152"/>
      <c r="I141" s="152"/>
      <c r="J141" s="152"/>
      <c r="K141" s="152"/>
      <c r="L141" s="152"/>
      <c r="M141" s="152"/>
      <c r="N141" s="152"/>
      <c r="O141" s="152"/>
      <c r="P141" s="152"/>
      <c r="Q141" s="152"/>
      <c r="R141" s="152"/>
      <c r="S141" s="152"/>
      <c r="T141" s="152"/>
      <c r="U141" s="152"/>
      <c r="V141" s="445"/>
    </row>
    <row r="142" spans="1:22" x14ac:dyDescent="0.2">
      <c r="A142" s="343"/>
      <c r="B142" s="203"/>
      <c r="C142" s="203"/>
      <c r="D142" s="203"/>
      <c r="E142" s="203"/>
      <c r="F142" s="203"/>
      <c r="G142" s="203"/>
      <c r="H142" s="203"/>
      <c r="I142" s="203"/>
      <c r="J142" s="203"/>
      <c r="K142" s="203"/>
      <c r="L142" s="203"/>
      <c r="M142" s="203"/>
      <c r="N142" s="203"/>
      <c r="O142" s="203"/>
      <c r="P142" s="203"/>
      <c r="Q142" s="203"/>
      <c r="R142" s="203"/>
      <c r="S142" s="203"/>
      <c r="T142" s="203"/>
      <c r="U142" s="203"/>
      <c r="V142" s="446"/>
    </row>
  </sheetData>
  <mergeCells count="2">
    <mergeCell ref="B124:C124"/>
    <mergeCell ref="E124:J124"/>
  </mergeCells>
  <phoneticPr fontId="3"/>
  <pageMargins left="0.7" right="0.7" top="0.75" bottom="0.75" header="0.3" footer="0.3"/>
  <pageSetup paperSize="9" scale="2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J62"/>
  <sheetViews>
    <sheetView showGridLines="0" topLeftCell="A34" zoomScaleNormal="100" workbookViewId="0">
      <selection activeCell="E47" sqref="E47"/>
    </sheetView>
  </sheetViews>
  <sheetFormatPr defaultRowHeight="18.75" x14ac:dyDescent="0.4"/>
  <cols>
    <col min="1" max="1" width="30.25" bestFit="1" customWidth="1"/>
    <col min="2" max="2" width="31.875" bestFit="1" customWidth="1"/>
    <col min="3" max="3" width="1.625" customWidth="1"/>
    <col min="4" max="4" width="23" bestFit="1" customWidth="1"/>
    <col min="5" max="5" width="35.625" bestFit="1" customWidth="1"/>
    <col min="6" max="6" width="1.25" customWidth="1"/>
    <col min="7" max="7" width="54.375" bestFit="1" customWidth="1"/>
    <col min="8" max="8" width="1" customWidth="1"/>
    <col min="9" max="9" width="4" bestFit="1" customWidth="1"/>
    <col min="10" max="10" width="91.625" bestFit="1" customWidth="1"/>
  </cols>
  <sheetData>
    <row r="1" spans="1:10" ht="25.5" x14ac:dyDescent="0.4">
      <c r="A1" s="400" t="s">
        <v>1773</v>
      </c>
      <c r="B1" s="400"/>
      <c r="C1" s="400"/>
      <c r="D1" s="400"/>
      <c r="E1" s="400"/>
      <c r="F1" s="400"/>
      <c r="G1" s="400"/>
      <c r="H1" s="400"/>
      <c r="I1" s="401"/>
      <c r="J1" s="400"/>
    </row>
    <row r="2" spans="1:10" x14ac:dyDescent="0.3">
      <c r="A2" s="402" t="s">
        <v>1120</v>
      </c>
      <c r="B2" s="402" t="s">
        <v>110</v>
      </c>
      <c r="C2" s="403"/>
      <c r="D2" s="402" t="s">
        <v>1120</v>
      </c>
      <c r="E2" s="402" t="s">
        <v>1889</v>
      </c>
      <c r="F2" s="403"/>
      <c r="G2" s="402" t="s">
        <v>1890</v>
      </c>
      <c r="H2" s="403"/>
      <c r="I2" s="602" t="s">
        <v>1774</v>
      </c>
      <c r="J2" s="602"/>
    </row>
    <row r="3" spans="1:10" x14ac:dyDescent="0.3">
      <c r="A3" s="404" t="s">
        <v>1775</v>
      </c>
      <c r="B3" s="405" t="s">
        <v>1776</v>
      </c>
      <c r="C3" s="406"/>
      <c r="D3" s="407" t="s">
        <v>1781</v>
      </c>
      <c r="E3" s="408" t="s">
        <v>1891</v>
      </c>
      <c r="F3" s="403"/>
      <c r="G3" s="409" t="s">
        <v>1892</v>
      </c>
      <c r="H3" s="403"/>
      <c r="I3" s="410">
        <v>1</v>
      </c>
      <c r="J3" s="411" t="s">
        <v>1777</v>
      </c>
    </row>
    <row r="4" spans="1:10" x14ac:dyDescent="0.3">
      <c r="A4" s="412" t="s">
        <v>1778</v>
      </c>
      <c r="B4" s="405" t="s">
        <v>421</v>
      </c>
      <c r="C4" s="406"/>
      <c r="D4" s="407" t="s">
        <v>1781</v>
      </c>
      <c r="E4" s="413" t="s">
        <v>1893</v>
      </c>
      <c r="F4" s="403"/>
      <c r="G4" s="409" t="s">
        <v>1779</v>
      </c>
      <c r="H4" s="403"/>
      <c r="I4" s="414">
        <v>2</v>
      </c>
      <c r="J4" s="415" t="s">
        <v>1780</v>
      </c>
    </row>
    <row r="5" spans="1:10" x14ac:dyDescent="0.3">
      <c r="A5" s="412" t="s">
        <v>1778</v>
      </c>
      <c r="B5" s="405" t="s">
        <v>387</v>
      </c>
      <c r="C5" s="406"/>
      <c r="D5" s="407" t="s">
        <v>1781</v>
      </c>
      <c r="E5" s="416" t="s">
        <v>1782</v>
      </c>
      <c r="F5" s="403"/>
      <c r="G5" s="409" t="s">
        <v>2406</v>
      </c>
      <c r="H5" s="403"/>
      <c r="I5" s="414">
        <v>3</v>
      </c>
      <c r="J5" s="415" t="s">
        <v>1783</v>
      </c>
    </row>
    <row r="6" spans="1:10" x14ac:dyDescent="0.3">
      <c r="A6" s="412" t="s">
        <v>1778</v>
      </c>
      <c r="B6" s="405" t="s">
        <v>417</v>
      </c>
      <c r="C6" s="406"/>
      <c r="D6" s="407" t="s">
        <v>1781</v>
      </c>
      <c r="E6" s="416" t="s">
        <v>1894</v>
      </c>
      <c r="F6" s="403"/>
      <c r="G6" s="409" t="s">
        <v>1784</v>
      </c>
      <c r="H6" s="403"/>
      <c r="I6" s="414">
        <v>4</v>
      </c>
      <c r="J6" s="415" t="s">
        <v>1785</v>
      </c>
    </row>
    <row r="7" spans="1:10" x14ac:dyDescent="0.3">
      <c r="A7" s="412" t="s">
        <v>1778</v>
      </c>
      <c r="B7" s="405" t="s">
        <v>148</v>
      </c>
      <c r="C7" s="406"/>
      <c r="D7" s="407" t="s">
        <v>1781</v>
      </c>
      <c r="E7" s="416" t="s">
        <v>1895</v>
      </c>
      <c r="F7" s="403"/>
      <c r="G7" s="409" t="s">
        <v>1787</v>
      </c>
      <c r="H7" s="403"/>
      <c r="I7" s="414">
        <v>5</v>
      </c>
      <c r="J7" s="415" t="s">
        <v>1788</v>
      </c>
    </row>
    <row r="8" spans="1:10" x14ac:dyDescent="0.3">
      <c r="A8" s="412" t="s">
        <v>1778</v>
      </c>
      <c r="B8" s="405" t="s">
        <v>511</v>
      </c>
      <c r="C8" s="406"/>
      <c r="D8" s="407" t="s">
        <v>1781</v>
      </c>
      <c r="E8" s="416" t="s">
        <v>1896</v>
      </c>
      <c r="F8" s="403"/>
      <c r="G8" s="409" t="s">
        <v>1897</v>
      </c>
      <c r="H8" s="403"/>
      <c r="I8" s="414">
        <v>6</v>
      </c>
      <c r="J8" s="415" t="s">
        <v>1790</v>
      </c>
    </row>
    <row r="9" spans="1:10" x14ac:dyDescent="0.3">
      <c r="A9" s="412" t="s">
        <v>1778</v>
      </c>
      <c r="B9" s="405" t="s">
        <v>1791</v>
      </c>
      <c r="C9" s="406"/>
      <c r="D9" s="551" t="s">
        <v>1781</v>
      </c>
      <c r="E9" s="552" t="s">
        <v>387</v>
      </c>
      <c r="F9" s="403"/>
      <c r="G9" s="409" t="s">
        <v>1792</v>
      </c>
      <c r="H9" s="403"/>
      <c r="I9" s="414">
        <v>7</v>
      </c>
      <c r="J9" s="415" t="s">
        <v>1793</v>
      </c>
    </row>
    <row r="10" spans="1:10" x14ac:dyDescent="0.3">
      <c r="A10" s="412" t="s">
        <v>1778</v>
      </c>
      <c r="B10" s="417" t="s">
        <v>1794</v>
      </c>
      <c r="C10" s="406"/>
      <c r="D10" s="407" t="s">
        <v>1781</v>
      </c>
      <c r="E10" s="418" t="s">
        <v>1795</v>
      </c>
      <c r="F10" s="403"/>
      <c r="G10" s="409" t="s">
        <v>1898</v>
      </c>
      <c r="H10" s="403"/>
      <c r="I10" s="414">
        <v>8</v>
      </c>
      <c r="J10" s="415" t="s">
        <v>1796</v>
      </c>
    </row>
    <row r="11" spans="1:10" x14ac:dyDescent="0.3">
      <c r="A11" s="412" t="s">
        <v>1778</v>
      </c>
      <c r="B11" s="417" t="s">
        <v>1797</v>
      </c>
      <c r="C11" s="406"/>
      <c r="D11" s="407" t="s">
        <v>1781</v>
      </c>
      <c r="E11" s="416" t="s">
        <v>1798</v>
      </c>
      <c r="F11" s="403"/>
      <c r="G11" s="409" t="s">
        <v>1799</v>
      </c>
      <c r="H11" s="403"/>
      <c r="I11" s="414">
        <v>9</v>
      </c>
      <c r="J11" s="415" t="s">
        <v>1800</v>
      </c>
    </row>
    <row r="12" spans="1:10" x14ac:dyDescent="0.3">
      <c r="A12" s="412" t="s">
        <v>1778</v>
      </c>
      <c r="B12" s="419" t="s">
        <v>1801</v>
      </c>
      <c r="C12" s="406"/>
      <c r="D12" s="407" t="s">
        <v>1781</v>
      </c>
      <c r="E12" s="420" t="s">
        <v>1803</v>
      </c>
      <c r="F12" s="403"/>
      <c r="G12" s="421" t="s">
        <v>2414</v>
      </c>
      <c r="H12" s="403"/>
      <c r="I12" s="414">
        <v>10</v>
      </c>
      <c r="J12" s="415" t="s">
        <v>1804</v>
      </c>
    </row>
    <row r="13" spans="1:10" x14ac:dyDescent="0.3">
      <c r="A13" s="412" t="s">
        <v>1778</v>
      </c>
      <c r="B13" s="419" t="s">
        <v>968</v>
      </c>
      <c r="C13" s="406"/>
      <c r="D13" s="422" t="s">
        <v>1781</v>
      </c>
      <c r="E13" s="423" t="s">
        <v>1805</v>
      </c>
      <c r="F13" s="403"/>
      <c r="G13" s="421" t="s">
        <v>2413</v>
      </c>
      <c r="H13" s="403"/>
      <c r="I13" s="414">
        <v>11</v>
      </c>
      <c r="J13" s="415" t="s">
        <v>1806</v>
      </c>
    </row>
    <row r="14" spans="1:10" x14ac:dyDescent="0.3">
      <c r="A14" s="424" t="s">
        <v>2343</v>
      </c>
      <c r="B14" s="405" t="s">
        <v>2345</v>
      </c>
      <c r="C14" s="406"/>
      <c r="D14" s="422" t="s">
        <v>1781</v>
      </c>
      <c r="E14" s="425" t="s">
        <v>1899</v>
      </c>
      <c r="F14" s="403"/>
      <c r="G14" s="421" t="s">
        <v>1900</v>
      </c>
      <c r="H14" s="403"/>
      <c r="I14" s="414">
        <v>12</v>
      </c>
      <c r="J14" s="415" t="s">
        <v>1807</v>
      </c>
    </row>
    <row r="15" spans="1:10" x14ac:dyDescent="0.3">
      <c r="A15" s="424" t="s">
        <v>1534</v>
      </c>
      <c r="B15" s="405" t="s">
        <v>1808</v>
      </c>
      <c r="C15" s="406"/>
      <c r="D15" s="422" t="s">
        <v>1781</v>
      </c>
      <c r="E15" s="423" t="s">
        <v>1901</v>
      </c>
      <c r="F15" s="403"/>
      <c r="G15" s="409" t="s">
        <v>2415</v>
      </c>
      <c r="H15" s="403"/>
      <c r="I15" s="414">
        <v>13</v>
      </c>
      <c r="J15" s="415" t="s">
        <v>1809</v>
      </c>
    </row>
    <row r="16" spans="1:10" x14ac:dyDescent="0.3">
      <c r="A16" s="426" t="s">
        <v>167</v>
      </c>
      <c r="B16" s="405" t="s">
        <v>1810</v>
      </c>
      <c r="C16" s="406"/>
      <c r="D16" s="422" t="s">
        <v>1781</v>
      </c>
      <c r="E16" s="423" t="s">
        <v>1811</v>
      </c>
      <c r="F16" s="403"/>
      <c r="G16" s="409" t="s">
        <v>1812</v>
      </c>
      <c r="H16" s="403"/>
      <c r="I16" s="603">
        <v>14</v>
      </c>
      <c r="J16" s="604" t="s">
        <v>1813</v>
      </c>
    </row>
    <row r="17" spans="1:10" x14ac:dyDescent="0.3">
      <c r="A17" s="426" t="s">
        <v>167</v>
      </c>
      <c r="B17" s="405" t="s">
        <v>1814</v>
      </c>
      <c r="C17" s="406"/>
      <c r="D17" s="422" t="s">
        <v>1781</v>
      </c>
      <c r="E17" s="423" t="s">
        <v>1815</v>
      </c>
      <c r="F17" s="403"/>
      <c r="G17" s="409" t="s">
        <v>1818</v>
      </c>
      <c r="H17" s="403"/>
      <c r="I17" s="603"/>
      <c r="J17" s="604"/>
    </row>
    <row r="18" spans="1:10" x14ac:dyDescent="0.3">
      <c r="A18" s="426" t="s">
        <v>167</v>
      </c>
      <c r="B18" s="405" t="s">
        <v>414</v>
      </c>
      <c r="C18" s="406"/>
      <c r="D18" s="422" t="s">
        <v>1781</v>
      </c>
      <c r="E18" s="423" t="s">
        <v>1816</v>
      </c>
      <c r="F18" s="403"/>
      <c r="G18" s="409" t="s">
        <v>1902</v>
      </c>
      <c r="H18" s="403"/>
      <c r="I18" s="414">
        <v>15</v>
      </c>
      <c r="J18" s="415" t="s">
        <v>1819</v>
      </c>
    </row>
    <row r="19" spans="1:10" x14ac:dyDescent="0.3">
      <c r="A19" s="426" t="s">
        <v>167</v>
      </c>
      <c r="B19" s="405" t="s">
        <v>951</v>
      </c>
      <c r="C19" s="406"/>
      <c r="D19" s="422" t="s">
        <v>1781</v>
      </c>
      <c r="E19" s="427" t="s">
        <v>1820</v>
      </c>
      <c r="F19" s="403"/>
      <c r="G19" s="409" t="s">
        <v>1903</v>
      </c>
      <c r="H19" s="403"/>
      <c r="I19" s="428"/>
      <c r="J19" s="403"/>
    </row>
    <row r="20" spans="1:10" x14ac:dyDescent="0.3">
      <c r="A20" s="426" t="s">
        <v>167</v>
      </c>
      <c r="B20" s="405" t="s">
        <v>1821</v>
      </c>
      <c r="C20" s="406"/>
      <c r="D20" s="422" t="s">
        <v>1781</v>
      </c>
      <c r="E20" s="423" t="s">
        <v>1822</v>
      </c>
      <c r="F20" s="403"/>
      <c r="G20" s="403"/>
      <c r="H20" s="403"/>
      <c r="I20" s="428"/>
      <c r="J20" s="403"/>
    </row>
    <row r="21" spans="1:10" x14ac:dyDescent="0.3">
      <c r="A21" s="426" t="s">
        <v>167</v>
      </c>
      <c r="B21" s="405" t="s">
        <v>1823</v>
      </c>
      <c r="C21" s="406"/>
      <c r="D21" s="422" t="s">
        <v>1781</v>
      </c>
      <c r="E21" s="427" t="s">
        <v>1824</v>
      </c>
      <c r="F21" s="403"/>
      <c r="G21" s="403"/>
      <c r="H21" s="403"/>
      <c r="I21" s="428"/>
      <c r="J21" s="403"/>
    </row>
    <row r="22" spans="1:10" x14ac:dyDescent="0.3">
      <c r="A22" s="426" t="s">
        <v>167</v>
      </c>
      <c r="B22" s="417" t="s">
        <v>1825</v>
      </c>
      <c r="C22" s="406"/>
      <c r="D22" s="422" t="s">
        <v>1781</v>
      </c>
      <c r="E22" s="427" t="s">
        <v>1827</v>
      </c>
      <c r="F22" s="403"/>
      <c r="G22" s="403"/>
      <c r="H22" s="403"/>
      <c r="I22" s="428"/>
      <c r="J22" s="403"/>
    </row>
    <row r="23" spans="1:10" x14ac:dyDescent="0.3">
      <c r="A23" s="429" t="s">
        <v>632</v>
      </c>
      <c r="B23" s="404" t="s">
        <v>633</v>
      </c>
      <c r="C23" s="406"/>
      <c r="D23" s="422" t="s">
        <v>1781</v>
      </c>
      <c r="E23" s="427" t="s">
        <v>1904</v>
      </c>
      <c r="F23" s="403"/>
      <c r="G23" s="403"/>
      <c r="H23" s="403"/>
      <c r="I23" s="428"/>
      <c r="J23" s="403"/>
    </row>
    <row r="24" spans="1:10" ht="21" x14ac:dyDescent="0.3">
      <c r="A24" s="429" t="s">
        <v>632</v>
      </c>
      <c r="B24" s="405" t="s">
        <v>1828</v>
      </c>
      <c r="C24" s="406"/>
      <c r="D24" s="422" t="s">
        <v>1781</v>
      </c>
      <c r="E24" s="430" t="s">
        <v>1829</v>
      </c>
      <c r="F24" s="403"/>
      <c r="G24" s="403"/>
      <c r="H24" s="403"/>
      <c r="I24" s="428"/>
      <c r="J24" s="403"/>
    </row>
    <row r="25" spans="1:10" x14ac:dyDescent="0.3">
      <c r="A25" s="412" t="s">
        <v>224</v>
      </c>
      <c r="B25" s="404" t="s">
        <v>1830</v>
      </c>
      <c r="C25" s="406"/>
      <c r="D25" s="422" t="s">
        <v>1781</v>
      </c>
      <c r="E25" s="423" t="s">
        <v>1905</v>
      </c>
      <c r="F25" s="403"/>
      <c r="G25" s="403"/>
      <c r="H25" s="403"/>
      <c r="I25" s="428"/>
      <c r="J25" s="403"/>
    </row>
    <row r="26" spans="1:10" x14ac:dyDescent="0.3">
      <c r="A26" s="412" t="s">
        <v>224</v>
      </c>
      <c r="B26" s="404" t="s">
        <v>1831</v>
      </c>
      <c r="C26" s="406"/>
      <c r="D26" s="422" t="s">
        <v>1781</v>
      </c>
      <c r="E26" s="423" t="s">
        <v>1833</v>
      </c>
      <c r="F26" s="403"/>
      <c r="G26" s="403"/>
      <c r="H26" s="403"/>
      <c r="I26" s="428"/>
      <c r="J26" s="403"/>
    </row>
    <row r="27" spans="1:10" x14ac:dyDescent="0.3">
      <c r="A27" s="412" t="s">
        <v>224</v>
      </c>
      <c r="B27" s="404" t="s">
        <v>1834</v>
      </c>
      <c r="C27" s="406"/>
      <c r="D27" s="422" t="s">
        <v>1781</v>
      </c>
      <c r="E27" s="423" t="s">
        <v>1835</v>
      </c>
      <c r="F27" s="403"/>
      <c r="G27" s="403"/>
      <c r="H27" s="403"/>
      <c r="I27" s="428"/>
      <c r="J27" s="403"/>
    </row>
    <row r="28" spans="1:10" x14ac:dyDescent="0.3">
      <c r="A28" s="412" t="s">
        <v>224</v>
      </c>
      <c r="B28" s="404" t="s">
        <v>1836</v>
      </c>
      <c r="C28" s="406"/>
      <c r="D28" s="422" t="s">
        <v>1781</v>
      </c>
      <c r="E28" s="431" t="s">
        <v>1837</v>
      </c>
      <c r="F28" s="403"/>
      <c r="G28" s="403"/>
      <c r="H28" s="403"/>
      <c r="I28" s="428"/>
      <c r="J28" s="403"/>
    </row>
    <row r="29" spans="1:10" x14ac:dyDescent="0.3">
      <c r="A29" s="412" t="s">
        <v>224</v>
      </c>
      <c r="B29" s="404" t="s">
        <v>1838</v>
      </c>
      <c r="C29" s="406"/>
      <c r="D29" s="422" t="s">
        <v>1781</v>
      </c>
      <c r="E29" s="423" t="s">
        <v>1839</v>
      </c>
      <c r="F29" s="403"/>
      <c r="G29" s="403"/>
      <c r="H29" s="403"/>
      <c r="I29" s="428"/>
      <c r="J29" s="403"/>
    </row>
    <row r="30" spans="1:10" ht="21" x14ac:dyDescent="0.3">
      <c r="A30" s="412" t="s">
        <v>224</v>
      </c>
      <c r="B30" s="404" t="s">
        <v>1801</v>
      </c>
      <c r="C30" s="406"/>
      <c r="D30" s="422" t="s">
        <v>1781</v>
      </c>
      <c r="E30" s="430" t="s">
        <v>1840</v>
      </c>
      <c r="F30" s="403"/>
      <c r="G30" s="403"/>
      <c r="H30" s="403"/>
      <c r="I30" s="428"/>
      <c r="J30" s="403"/>
    </row>
    <row r="31" spans="1:10" ht="63" x14ac:dyDescent="0.3">
      <c r="A31" s="412" t="s">
        <v>224</v>
      </c>
      <c r="B31" s="404" t="s">
        <v>1841</v>
      </c>
      <c r="C31" s="406"/>
      <c r="D31" s="422" t="s">
        <v>1781</v>
      </c>
      <c r="E31" s="430" t="s">
        <v>1842</v>
      </c>
      <c r="F31" s="403"/>
      <c r="G31" s="403"/>
      <c r="H31" s="403"/>
      <c r="I31" s="428"/>
      <c r="J31" s="403"/>
    </row>
    <row r="32" spans="1:10" x14ac:dyDescent="0.3">
      <c r="A32" s="412" t="s">
        <v>769</v>
      </c>
      <c r="B32" s="417" t="s">
        <v>1843</v>
      </c>
      <c r="C32" s="406"/>
      <c r="D32" s="422" t="s">
        <v>1781</v>
      </c>
      <c r="E32" s="430" t="s">
        <v>1845</v>
      </c>
      <c r="F32" s="403"/>
      <c r="G32" s="403"/>
      <c r="H32" s="403"/>
      <c r="I32" s="428"/>
      <c r="J32" s="403"/>
    </row>
    <row r="33" spans="1:10" x14ac:dyDescent="0.3">
      <c r="A33" s="412" t="s">
        <v>224</v>
      </c>
      <c r="B33" s="405" t="s">
        <v>1846</v>
      </c>
      <c r="C33" s="406"/>
      <c r="D33" s="422" t="s">
        <v>1781</v>
      </c>
      <c r="E33" s="430" t="s">
        <v>1847</v>
      </c>
      <c r="F33" s="403"/>
      <c r="G33" s="403"/>
      <c r="H33" s="403"/>
      <c r="I33" s="428"/>
      <c r="J33" s="403"/>
    </row>
    <row r="34" spans="1:10" x14ac:dyDescent="0.3">
      <c r="A34" s="412" t="s">
        <v>224</v>
      </c>
      <c r="B34" s="404" t="s">
        <v>1848</v>
      </c>
      <c r="C34" s="406"/>
      <c r="D34" s="422" t="s">
        <v>1781</v>
      </c>
      <c r="E34" s="432" t="s">
        <v>1849</v>
      </c>
      <c r="F34" s="403"/>
      <c r="G34" s="403"/>
      <c r="H34" s="403"/>
      <c r="I34" s="428"/>
      <c r="J34" s="403"/>
    </row>
    <row r="35" spans="1:10" x14ac:dyDescent="0.3">
      <c r="A35" s="412" t="s">
        <v>224</v>
      </c>
      <c r="B35" s="404" t="s">
        <v>1850</v>
      </c>
      <c r="C35" s="406"/>
      <c r="D35" s="422" t="s">
        <v>1781</v>
      </c>
      <c r="E35" s="432" t="s">
        <v>1851</v>
      </c>
      <c r="F35" s="403"/>
      <c r="G35" s="403"/>
      <c r="H35" s="403"/>
      <c r="I35" s="428"/>
      <c r="J35" s="403"/>
    </row>
    <row r="36" spans="1:10" x14ac:dyDescent="0.3">
      <c r="A36" s="412" t="s">
        <v>224</v>
      </c>
      <c r="B36" s="404" t="s">
        <v>1852</v>
      </c>
      <c r="C36" s="406"/>
      <c r="D36" s="422" t="s">
        <v>1781</v>
      </c>
      <c r="E36" s="430" t="s">
        <v>1853</v>
      </c>
      <c r="F36" s="403"/>
      <c r="G36" s="403"/>
      <c r="H36" s="403"/>
      <c r="I36" s="428"/>
      <c r="J36" s="403"/>
    </row>
    <row r="37" spans="1:10" x14ac:dyDescent="0.3">
      <c r="A37" s="412" t="s">
        <v>224</v>
      </c>
      <c r="B37" s="404" t="s">
        <v>1854</v>
      </c>
      <c r="C37" s="406"/>
      <c r="D37" s="422" t="s">
        <v>1781</v>
      </c>
      <c r="E37" s="433" t="s">
        <v>1855</v>
      </c>
      <c r="F37" s="403"/>
      <c r="G37" s="403"/>
      <c r="H37" s="403"/>
      <c r="I37" s="428"/>
      <c r="J37" s="403"/>
    </row>
    <row r="38" spans="1:10" x14ac:dyDescent="0.3">
      <c r="A38" s="412" t="s">
        <v>224</v>
      </c>
      <c r="B38" s="404" t="s">
        <v>1856</v>
      </c>
      <c r="C38" s="406"/>
      <c r="D38" s="422" t="s">
        <v>1781</v>
      </c>
      <c r="E38" s="423" t="s">
        <v>1857</v>
      </c>
      <c r="F38" s="403"/>
      <c r="G38" s="403"/>
      <c r="H38" s="403"/>
      <c r="I38" s="428"/>
      <c r="J38" s="403"/>
    </row>
    <row r="39" spans="1:10" x14ac:dyDescent="0.3">
      <c r="A39" s="412" t="s">
        <v>224</v>
      </c>
      <c r="B39" s="404" t="s">
        <v>1858</v>
      </c>
      <c r="C39" s="406"/>
      <c r="D39" s="422" t="s">
        <v>1781</v>
      </c>
      <c r="E39" s="423" t="s">
        <v>1859</v>
      </c>
      <c r="F39" s="403"/>
      <c r="G39" s="403"/>
      <c r="H39" s="403"/>
      <c r="I39" s="428"/>
      <c r="J39" s="403"/>
    </row>
    <row r="40" spans="1:10" x14ac:dyDescent="0.3">
      <c r="A40" s="412" t="s">
        <v>224</v>
      </c>
      <c r="B40" s="404" t="s">
        <v>1860</v>
      </c>
      <c r="C40" s="406"/>
      <c r="D40" s="422" t="s">
        <v>1781</v>
      </c>
      <c r="E40" s="431" t="s">
        <v>1861</v>
      </c>
      <c r="F40" s="403"/>
      <c r="G40" s="403"/>
      <c r="H40" s="403"/>
      <c r="I40" s="428"/>
      <c r="J40" s="403"/>
    </row>
    <row r="41" spans="1:10" x14ac:dyDescent="0.3">
      <c r="A41" s="412" t="s">
        <v>224</v>
      </c>
      <c r="B41" s="404" t="s">
        <v>1862</v>
      </c>
      <c r="C41" s="406"/>
      <c r="D41" s="422" t="s">
        <v>1781</v>
      </c>
      <c r="E41" s="423" t="s">
        <v>1863</v>
      </c>
      <c r="F41" s="403"/>
      <c r="G41" s="403"/>
      <c r="H41" s="403"/>
      <c r="I41" s="428"/>
      <c r="J41" s="403"/>
    </row>
    <row r="42" spans="1:10" ht="21" x14ac:dyDescent="0.3">
      <c r="A42" s="412" t="s">
        <v>224</v>
      </c>
      <c r="B42" s="404" t="s">
        <v>1864</v>
      </c>
      <c r="C42" s="406"/>
      <c r="D42" s="422" t="s">
        <v>1781</v>
      </c>
      <c r="E42" s="423" t="s">
        <v>2435</v>
      </c>
      <c r="F42" s="403"/>
      <c r="G42" s="403"/>
      <c r="H42" s="403"/>
      <c r="I42" s="428"/>
      <c r="J42" s="403"/>
    </row>
    <row r="43" spans="1:10" ht="21" x14ac:dyDescent="0.3">
      <c r="A43" s="412" t="s">
        <v>224</v>
      </c>
      <c r="B43" s="404" t="s">
        <v>1865</v>
      </c>
      <c r="C43" s="406"/>
      <c r="D43" s="422" t="s">
        <v>1781</v>
      </c>
      <c r="E43" s="434" t="s">
        <v>1866</v>
      </c>
      <c r="F43" s="403"/>
      <c r="G43" s="403"/>
      <c r="H43" s="403"/>
      <c r="I43" s="428"/>
      <c r="J43" s="403"/>
    </row>
    <row r="44" spans="1:10" ht="21" x14ac:dyDescent="0.3">
      <c r="A44" s="412" t="s">
        <v>224</v>
      </c>
      <c r="B44" s="404" t="s">
        <v>1867</v>
      </c>
      <c r="C44" s="406"/>
      <c r="D44" s="422" t="s">
        <v>1868</v>
      </c>
      <c r="E44" s="430" t="s">
        <v>1869</v>
      </c>
      <c r="F44" s="403"/>
      <c r="G44" s="403"/>
      <c r="H44" s="403"/>
      <c r="I44" s="428"/>
      <c r="J44" s="403"/>
    </row>
    <row r="45" spans="1:10" x14ac:dyDescent="0.3">
      <c r="A45" s="412" t="s">
        <v>224</v>
      </c>
      <c r="B45" s="404" t="s">
        <v>1870</v>
      </c>
      <c r="C45" s="406"/>
      <c r="D45" s="422" t="s">
        <v>1868</v>
      </c>
      <c r="E45" s="430" t="s">
        <v>1871</v>
      </c>
      <c r="F45" s="403"/>
      <c r="G45" s="403"/>
      <c r="H45" s="403"/>
      <c r="I45" s="428"/>
      <c r="J45" s="403"/>
    </row>
    <row r="46" spans="1:10" x14ac:dyDescent="0.3">
      <c r="A46" s="412" t="s">
        <v>224</v>
      </c>
      <c r="B46" s="404" t="s">
        <v>1872</v>
      </c>
      <c r="C46" s="403"/>
      <c r="D46" s="422" t="s">
        <v>1868</v>
      </c>
      <c r="E46" s="430" t="s">
        <v>2481</v>
      </c>
      <c r="F46" s="403"/>
      <c r="G46" s="403"/>
      <c r="H46" s="403"/>
      <c r="I46" s="428"/>
      <c r="J46" s="403"/>
    </row>
    <row r="47" spans="1:10" x14ac:dyDescent="0.3">
      <c r="A47" s="412" t="s">
        <v>224</v>
      </c>
      <c r="B47" s="404" t="s">
        <v>1844</v>
      </c>
      <c r="C47" s="403"/>
      <c r="D47" s="422" t="s">
        <v>1868</v>
      </c>
      <c r="E47" s="430" t="s">
        <v>1874</v>
      </c>
      <c r="F47" s="403"/>
      <c r="G47" s="403"/>
      <c r="H47" s="403"/>
      <c r="I47" s="428"/>
      <c r="J47" s="403"/>
    </row>
    <row r="48" spans="1:10" x14ac:dyDescent="0.3">
      <c r="A48" s="403"/>
      <c r="B48" s="403"/>
      <c r="C48" s="403"/>
      <c r="D48" s="422" t="s">
        <v>1868</v>
      </c>
      <c r="E48" s="430" t="s">
        <v>1875</v>
      </c>
      <c r="F48" s="403"/>
      <c r="G48" s="403"/>
      <c r="H48" s="403"/>
      <c r="I48" s="428"/>
      <c r="J48" s="403"/>
    </row>
    <row r="49" spans="1:10" x14ac:dyDescent="0.3">
      <c r="A49" s="403"/>
      <c r="B49" s="403"/>
      <c r="C49" s="403"/>
      <c r="D49" s="407" t="s">
        <v>1868</v>
      </c>
      <c r="E49" s="420" t="s">
        <v>1338</v>
      </c>
      <c r="F49" s="403"/>
      <c r="G49" s="403"/>
      <c r="H49" s="403"/>
      <c r="I49" s="428"/>
      <c r="J49" s="403"/>
    </row>
    <row r="50" spans="1:10" x14ac:dyDescent="0.3">
      <c r="A50" s="403"/>
      <c r="B50" s="403"/>
      <c r="C50" s="403"/>
      <c r="D50" s="435" t="s">
        <v>1876</v>
      </c>
      <c r="E50" s="416" t="s">
        <v>1877</v>
      </c>
      <c r="F50" s="403"/>
      <c r="G50" s="403"/>
      <c r="H50" s="403"/>
      <c r="I50" s="428"/>
      <c r="J50" s="403"/>
    </row>
    <row r="51" spans="1:10" x14ac:dyDescent="0.3">
      <c r="A51" s="403"/>
      <c r="B51" s="403"/>
      <c r="C51" s="403"/>
      <c r="D51" s="435" t="s">
        <v>1876</v>
      </c>
      <c r="E51" s="416" t="s">
        <v>1878</v>
      </c>
      <c r="F51" s="403"/>
      <c r="G51" s="403"/>
      <c r="H51" s="403"/>
      <c r="I51" s="428"/>
      <c r="J51" s="403"/>
    </row>
    <row r="52" spans="1:10" x14ac:dyDescent="0.3">
      <c r="A52" s="403"/>
      <c r="B52" s="403"/>
      <c r="C52" s="403"/>
      <c r="D52" s="435" t="s">
        <v>1876</v>
      </c>
      <c r="E52" s="416" t="s">
        <v>1879</v>
      </c>
      <c r="F52" s="403"/>
      <c r="G52" s="403"/>
      <c r="H52" s="403"/>
      <c r="I52" s="428"/>
      <c r="J52" s="403"/>
    </row>
    <row r="53" spans="1:10" ht="21" x14ac:dyDescent="0.3">
      <c r="A53" s="403"/>
      <c r="B53" s="403"/>
      <c r="C53" s="403"/>
      <c r="D53" s="436" t="s">
        <v>673</v>
      </c>
      <c r="E53" s="416" t="s">
        <v>1880</v>
      </c>
      <c r="F53" s="403"/>
      <c r="G53" s="403"/>
      <c r="H53" s="403"/>
      <c r="I53" s="428"/>
      <c r="J53" s="403"/>
    </row>
    <row r="54" spans="1:10" ht="21" x14ac:dyDescent="0.3">
      <c r="A54" s="403"/>
      <c r="B54" s="403"/>
      <c r="C54" s="403"/>
      <c r="D54" s="436" t="s">
        <v>769</v>
      </c>
      <c r="E54" s="418" t="s">
        <v>1881</v>
      </c>
      <c r="F54" s="403"/>
      <c r="G54" s="403"/>
      <c r="H54" s="403"/>
      <c r="I54" s="428"/>
      <c r="J54" s="403"/>
    </row>
    <row r="55" spans="1:10" ht="21" x14ac:dyDescent="0.3">
      <c r="A55" s="403"/>
      <c r="B55" s="403"/>
      <c r="C55" s="403"/>
      <c r="D55" s="436" t="s">
        <v>769</v>
      </c>
      <c r="E55" s="416" t="s">
        <v>1882</v>
      </c>
      <c r="F55" s="403"/>
      <c r="G55" s="403"/>
      <c r="H55" s="403"/>
      <c r="I55" s="428"/>
      <c r="J55" s="403"/>
    </row>
    <row r="56" spans="1:10" ht="21" x14ac:dyDescent="0.3">
      <c r="A56" s="403"/>
      <c r="B56" s="403"/>
      <c r="C56" s="403"/>
      <c r="D56" s="436" t="s">
        <v>769</v>
      </c>
      <c r="E56" s="416" t="s">
        <v>1883</v>
      </c>
      <c r="F56" s="403"/>
      <c r="G56" s="403"/>
      <c r="H56" s="403"/>
      <c r="I56" s="428"/>
      <c r="J56" s="403"/>
    </row>
    <row r="57" spans="1:10" ht="21" x14ac:dyDescent="0.3">
      <c r="A57" s="403"/>
      <c r="B57" s="403"/>
      <c r="C57" s="403"/>
      <c r="D57" s="436" t="s">
        <v>769</v>
      </c>
      <c r="E57" s="416" t="s">
        <v>1884</v>
      </c>
      <c r="F57" s="403"/>
      <c r="G57" s="403"/>
      <c r="H57" s="403"/>
      <c r="I57" s="428"/>
      <c r="J57" s="403"/>
    </row>
    <row r="58" spans="1:10" ht="21" x14ac:dyDescent="0.3">
      <c r="A58" s="403"/>
      <c r="B58" s="403"/>
      <c r="C58" s="403"/>
      <c r="D58" s="436" t="s">
        <v>769</v>
      </c>
      <c r="E58" s="437" t="s">
        <v>1885</v>
      </c>
      <c r="F58" s="403"/>
      <c r="G58" s="403"/>
      <c r="H58" s="403"/>
      <c r="I58" s="428"/>
      <c r="J58" s="403"/>
    </row>
    <row r="59" spans="1:10" ht="21" x14ac:dyDescent="0.3">
      <c r="A59" s="403"/>
      <c r="B59" s="403"/>
      <c r="C59" s="403"/>
      <c r="D59" s="436" t="s">
        <v>769</v>
      </c>
      <c r="E59" s="437" t="s">
        <v>1886</v>
      </c>
      <c r="F59" s="403"/>
      <c r="G59" s="403"/>
      <c r="H59" s="403"/>
      <c r="I59" s="428"/>
      <c r="J59" s="403"/>
    </row>
    <row r="60" spans="1:10" ht="21" x14ac:dyDescent="0.3">
      <c r="A60" s="403"/>
      <c r="B60" s="403"/>
      <c r="C60" s="403"/>
      <c r="D60" s="436" t="s">
        <v>769</v>
      </c>
      <c r="E60" s="416" t="s">
        <v>1887</v>
      </c>
      <c r="F60" s="403"/>
      <c r="G60" s="403"/>
      <c r="H60" s="403"/>
      <c r="I60" s="428"/>
      <c r="J60" s="403"/>
    </row>
    <row r="61" spans="1:10" ht="21" x14ac:dyDescent="0.3">
      <c r="A61" s="403"/>
      <c r="B61" s="403"/>
      <c r="C61" s="403"/>
      <c r="D61" s="436" t="s">
        <v>769</v>
      </c>
      <c r="E61" s="416" t="s">
        <v>1888</v>
      </c>
      <c r="F61" s="403"/>
      <c r="H61" s="403"/>
      <c r="I61" s="428"/>
      <c r="J61" s="403"/>
    </row>
    <row r="62" spans="1:10" x14ac:dyDescent="0.3">
      <c r="D62" s="403"/>
      <c r="E62" s="403"/>
    </row>
  </sheetData>
  <mergeCells count="3">
    <mergeCell ref="I2:J2"/>
    <mergeCell ref="I16:I17"/>
    <mergeCell ref="J16:J17"/>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O230"/>
  <sheetViews>
    <sheetView topLeftCell="B1" zoomScale="55" zoomScaleNormal="55" workbookViewId="0">
      <selection activeCell="E25" sqref="E25"/>
    </sheetView>
  </sheetViews>
  <sheetFormatPr defaultRowHeight="18.75" x14ac:dyDescent="0.4"/>
  <cols>
    <col min="1" max="1" width="28.75" customWidth="1"/>
    <col min="2" max="3" width="41.375" customWidth="1"/>
    <col min="4" max="4" width="144.625" bestFit="1" customWidth="1"/>
    <col min="5" max="5" width="15.625" customWidth="1"/>
    <col min="6" max="6" width="49.625" customWidth="1"/>
    <col min="7" max="7" width="26.5" customWidth="1"/>
    <col min="8" max="8" width="9" hidden="1" customWidth="1"/>
    <col min="9" max="9" width="12.375" customWidth="1"/>
    <col min="10" max="10" width="9" hidden="1" customWidth="1"/>
    <col min="11" max="11" width="24.75" customWidth="1"/>
    <col min="12" max="12" width="18.375" style="524" customWidth="1"/>
    <col min="13" max="13" width="21.875" customWidth="1"/>
  </cols>
  <sheetData>
    <row r="1" spans="1:13" ht="30.75" x14ac:dyDescent="0.3">
      <c r="A1" s="344" t="s">
        <v>1097</v>
      </c>
      <c r="B1" s="345"/>
      <c r="C1" s="345"/>
      <c r="D1" s="346"/>
      <c r="E1" s="347"/>
      <c r="F1" s="348"/>
      <c r="G1" s="348"/>
      <c r="H1" s="348"/>
      <c r="I1" s="349"/>
      <c r="J1" s="350"/>
      <c r="K1" s="347"/>
      <c r="L1" s="554"/>
      <c r="M1" s="351"/>
    </row>
    <row r="2" spans="1:13" ht="25.5" x14ac:dyDescent="0.5">
      <c r="A2" s="352" t="s">
        <v>1098</v>
      </c>
      <c r="B2" s="353"/>
      <c r="C2" s="353"/>
      <c r="D2" s="354"/>
      <c r="E2" s="354"/>
      <c r="F2" s="355"/>
      <c r="G2" s="355"/>
      <c r="H2" s="355"/>
      <c r="I2" s="356"/>
      <c r="J2" s="357"/>
      <c r="K2" s="354"/>
      <c r="L2" s="555"/>
      <c r="M2" s="358"/>
    </row>
    <row r="3" spans="1:13" ht="20.25" x14ac:dyDescent="0.4">
      <c r="A3" s="359" t="s">
        <v>1099</v>
      </c>
      <c r="B3" s="359" t="s">
        <v>1100</v>
      </c>
      <c r="C3" s="360" t="s">
        <v>1101</v>
      </c>
      <c r="D3" s="362"/>
      <c r="E3" s="361"/>
      <c r="F3" s="361"/>
      <c r="G3" s="361"/>
      <c r="H3" s="362"/>
      <c r="I3" s="363"/>
      <c r="J3" s="364"/>
      <c r="K3" s="361"/>
      <c r="L3" s="556"/>
      <c r="M3" s="365"/>
    </row>
    <row r="4" spans="1:13" ht="51.75" x14ac:dyDescent="0.4">
      <c r="A4" s="366" t="s">
        <v>840</v>
      </c>
      <c r="B4" s="367" t="s">
        <v>1102</v>
      </c>
      <c r="C4" s="609" t="s">
        <v>1103</v>
      </c>
      <c r="D4" s="609"/>
      <c r="E4" s="609"/>
      <c r="F4" s="609"/>
      <c r="G4" s="609"/>
      <c r="H4" s="610"/>
      <c r="I4" s="609"/>
      <c r="J4" s="609"/>
      <c r="K4" s="609"/>
      <c r="L4" s="611"/>
      <c r="M4" s="609"/>
    </row>
    <row r="5" spans="1:13" x14ac:dyDescent="0.4">
      <c r="A5" s="368" t="s">
        <v>1104</v>
      </c>
      <c r="B5" s="369" t="s">
        <v>1105</v>
      </c>
      <c r="C5" s="609" t="s">
        <v>1106</v>
      </c>
      <c r="D5" s="609"/>
      <c r="E5" s="609"/>
      <c r="F5" s="609"/>
      <c r="G5" s="609"/>
      <c r="H5" s="610"/>
      <c r="I5" s="609"/>
      <c r="J5" s="609"/>
      <c r="K5" s="609"/>
      <c r="L5" s="611"/>
      <c r="M5" s="609"/>
    </row>
    <row r="6" spans="1:13" ht="34.5" x14ac:dyDescent="0.4">
      <c r="A6" s="370" t="s">
        <v>902</v>
      </c>
      <c r="B6" s="367" t="s">
        <v>1107</v>
      </c>
      <c r="C6" s="609" t="s">
        <v>1108</v>
      </c>
      <c r="D6" s="609"/>
      <c r="E6" s="609"/>
      <c r="F6" s="609"/>
      <c r="G6" s="609"/>
      <c r="H6" s="610"/>
      <c r="I6" s="609"/>
      <c r="J6" s="609"/>
      <c r="K6" s="609"/>
      <c r="L6" s="611"/>
      <c r="M6" s="609"/>
    </row>
    <row r="7" spans="1:13" x14ac:dyDescent="0.4">
      <c r="A7" s="371" t="s">
        <v>1109</v>
      </c>
      <c r="B7" s="369" t="s">
        <v>1110</v>
      </c>
      <c r="C7" s="609" t="s">
        <v>1111</v>
      </c>
      <c r="D7" s="609"/>
      <c r="E7" s="609"/>
      <c r="F7" s="609"/>
      <c r="G7" s="609"/>
      <c r="H7" s="610"/>
      <c r="I7" s="609"/>
      <c r="J7" s="609"/>
      <c r="K7" s="609"/>
      <c r="L7" s="611"/>
      <c r="M7" s="609"/>
    </row>
    <row r="8" spans="1:13" ht="34.5" x14ac:dyDescent="0.4">
      <c r="A8" s="526" t="s">
        <v>1112</v>
      </c>
      <c r="B8" s="369" t="s">
        <v>1105</v>
      </c>
      <c r="C8" s="612" t="s">
        <v>1113</v>
      </c>
      <c r="D8" s="612"/>
      <c r="E8" s="612"/>
      <c r="F8" s="612"/>
      <c r="G8" s="612"/>
      <c r="H8" s="613"/>
      <c r="I8" s="612"/>
      <c r="J8" s="612"/>
      <c r="K8" s="612"/>
      <c r="L8" s="614"/>
      <c r="M8" s="612"/>
    </row>
    <row r="9" spans="1:13" ht="20.25" x14ac:dyDescent="0.4">
      <c r="A9" s="530" t="s">
        <v>1114</v>
      </c>
      <c r="B9" s="531"/>
      <c r="C9" s="531"/>
      <c r="D9" s="531"/>
      <c r="E9" s="532"/>
      <c r="F9" s="532"/>
      <c r="G9" s="532"/>
      <c r="H9" s="532"/>
      <c r="I9" s="533"/>
      <c r="J9" s="534"/>
      <c r="K9" s="532"/>
      <c r="L9" s="557"/>
      <c r="M9" s="535"/>
    </row>
    <row r="10" spans="1:13" ht="83.25" customHeight="1" x14ac:dyDescent="0.4">
      <c r="A10" s="605" t="s">
        <v>2300</v>
      </c>
      <c r="B10" s="606"/>
      <c r="C10" s="606"/>
      <c r="D10" s="606"/>
      <c r="E10" s="606"/>
      <c r="F10" s="606"/>
      <c r="G10" s="606"/>
      <c r="H10" s="606"/>
      <c r="I10" s="606"/>
      <c r="J10" s="606"/>
      <c r="K10" s="606"/>
      <c r="L10" s="607"/>
      <c r="M10" s="608"/>
    </row>
    <row r="11" spans="1:13" ht="81" x14ac:dyDescent="0.4">
      <c r="A11" s="359" t="s">
        <v>1115</v>
      </c>
      <c r="B11" s="359" t="s">
        <v>15</v>
      </c>
      <c r="C11" s="359" t="s">
        <v>1116</v>
      </c>
      <c r="D11" s="359" t="s">
        <v>1117</v>
      </c>
      <c r="E11" s="579" t="s">
        <v>1118</v>
      </c>
      <c r="F11" s="579" t="s">
        <v>1119</v>
      </c>
      <c r="G11" s="579" t="s">
        <v>1120</v>
      </c>
      <c r="H11" s="579" t="s">
        <v>1121</v>
      </c>
      <c r="I11" s="580" t="s">
        <v>1122</v>
      </c>
      <c r="J11" s="372" t="s">
        <v>1123</v>
      </c>
      <c r="K11" s="359" t="s">
        <v>1124</v>
      </c>
      <c r="L11" s="558" t="s">
        <v>1125</v>
      </c>
      <c r="M11" s="359" t="s">
        <v>1126</v>
      </c>
    </row>
    <row r="12" spans="1:13" s="565" customFormat="1" ht="68.25" customHeight="1" x14ac:dyDescent="0.4">
      <c r="A12" s="373" t="s">
        <v>1127</v>
      </c>
      <c r="B12" s="273" t="s">
        <v>1128</v>
      </c>
      <c r="C12" s="273" t="s">
        <v>312</v>
      </c>
      <c r="D12" s="569" t="s">
        <v>2456</v>
      </c>
      <c r="E12" s="509" t="s">
        <v>1023</v>
      </c>
      <c r="F12" s="269" t="s">
        <v>1157</v>
      </c>
      <c r="G12" s="269" t="s">
        <v>2463</v>
      </c>
      <c r="H12" s="263" t="s">
        <v>2473</v>
      </c>
      <c r="I12" s="567" t="s">
        <v>2464</v>
      </c>
      <c r="J12" s="567" t="s">
        <v>2464</v>
      </c>
      <c r="K12" s="272">
        <v>44018</v>
      </c>
      <c r="L12" s="384">
        <v>28208</v>
      </c>
      <c r="M12" s="273" t="s">
        <v>2469</v>
      </c>
    </row>
    <row r="13" spans="1:13" s="565" customFormat="1" ht="68.25" customHeight="1" x14ac:dyDescent="0.4">
      <c r="A13" s="373" t="s">
        <v>1127</v>
      </c>
      <c r="B13" s="273" t="s">
        <v>1128</v>
      </c>
      <c r="C13" s="273" t="s">
        <v>312</v>
      </c>
      <c r="D13" s="569" t="s">
        <v>2457</v>
      </c>
      <c r="E13" s="509" t="s">
        <v>1023</v>
      </c>
      <c r="F13" s="269" t="s">
        <v>2447</v>
      </c>
      <c r="G13" s="269" t="s">
        <v>2463</v>
      </c>
      <c r="H13" s="263" t="s">
        <v>2474</v>
      </c>
      <c r="I13" s="567" t="s">
        <v>2464</v>
      </c>
      <c r="J13" s="567" t="s">
        <v>2464</v>
      </c>
      <c r="K13" s="272">
        <v>44018</v>
      </c>
      <c r="L13" s="384">
        <v>24115</v>
      </c>
      <c r="M13" s="273" t="s">
        <v>2469</v>
      </c>
    </row>
    <row r="14" spans="1:13" s="565" customFormat="1" ht="68.25" customHeight="1" x14ac:dyDescent="0.4">
      <c r="A14" s="373" t="s">
        <v>1127</v>
      </c>
      <c r="B14" s="273" t="s">
        <v>1128</v>
      </c>
      <c r="C14" s="273" t="s">
        <v>312</v>
      </c>
      <c r="D14" s="569" t="s">
        <v>2458</v>
      </c>
      <c r="E14" s="509" t="s">
        <v>1023</v>
      </c>
      <c r="F14" s="269" t="s">
        <v>2448</v>
      </c>
      <c r="G14" s="269" t="s">
        <v>2463</v>
      </c>
      <c r="H14" s="263" t="s">
        <v>2475</v>
      </c>
      <c r="I14" s="567" t="s">
        <v>2464</v>
      </c>
      <c r="J14" s="567" t="s">
        <v>2464</v>
      </c>
      <c r="K14" s="272">
        <v>44018</v>
      </c>
      <c r="L14" s="384">
        <v>23908</v>
      </c>
      <c r="M14" s="273" t="s">
        <v>2469</v>
      </c>
    </row>
    <row r="15" spans="1:13" s="565" customFormat="1" ht="68.25" customHeight="1" x14ac:dyDescent="0.4">
      <c r="A15" s="373" t="s">
        <v>1127</v>
      </c>
      <c r="B15" s="273" t="s">
        <v>1128</v>
      </c>
      <c r="C15" s="273" t="s">
        <v>312</v>
      </c>
      <c r="D15" s="569" t="s">
        <v>2459</v>
      </c>
      <c r="E15" s="509" t="s">
        <v>1023</v>
      </c>
      <c r="F15" s="269" t="s">
        <v>2449</v>
      </c>
      <c r="G15" s="269" t="s">
        <v>2466</v>
      </c>
      <c r="H15" s="263" t="s">
        <v>2476</v>
      </c>
      <c r="I15" s="567" t="s">
        <v>2464</v>
      </c>
      <c r="J15" s="567" t="s">
        <v>2464</v>
      </c>
      <c r="K15" s="272">
        <v>44018</v>
      </c>
      <c r="L15" s="384">
        <v>9852</v>
      </c>
      <c r="M15" s="273" t="s">
        <v>2469</v>
      </c>
    </row>
    <row r="16" spans="1:13" s="565" customFormat="1" ht="68.25" customHeight="1" x14ac:dyDescent="0.4">
      <c r="A16" s="373" t="s">
        <v>1127</v>
      </c>
      <c r="B16" s="273" t="s">
        <v>1128</v>
      </c>
      <c r="C16" s="273" t="s">
        <v>312</v>
      </c>
      <c r="D16" s="569" t="s">
        <v>2465</v>
      </c>
      <c r="E16" s="509" t="s">
        <v>1023</v>
      </c>
      <c r="F16" s="269" t="s">
        <v>2450</v>
      </c>
      <c r="G16" s="269" t="s">
        <v>2466</v>
      </c>
      <c r="H16" s="263" t="s">
        <v>2477</v>
      </c>
      <c r="I16" s="567" t="s">
        <v>2464</v>
      </c>
      <c r="J16" s="567" t="s">
        <v>2464</v>
      </c>
      <c r="K16" s="272">
        <v>44018</v>
      </c>
      <c r="L16" s="384">
        <v>188</v>
      </c>
      <c r="M16" s="273" t="s">
        <v>2469</v>
      </c>
    </row>
    <row r="17" spans="1:15" s="565" customFormat="1" ht="68.25" customHeight="1" x14ac:dyDescent="0.4">
      <c r="A17" s="373" t="s">
        <v>1127</v>
      </c>
      <c r="B17" s="273" t="s">
        <v>1128</v>
      </c>
      <c r="C17" s="273" t="s">
        <v>312</v>
      </c>
      <c r="D17" s="569" t="s">
        <v>2470</v>
      </c>
      <c r="E17" s="269" t="s">
        <v>458</v>
      </c>
      <c r="F17" s="269" t="s">
        <v>2451</v>
      </c>
      <c r="G17" s="269" t="s">
        <v>2463</v>
      </c>
      <c r="H17" s="263" t="s">
        <v>2473</v>
      </c>
      <c r="I17" s="567" t="s">
        <v>2464</v>
      </c>
      <c r="J17" s="567" t="s">
        <v>2464</v>
      </c>
      <c r="K17" s="272">
        <v>44018</v>
      </c>
      <c r="L17" s="384">
        <v>8030</v>
      </c>
      <c r="M17" s="273" t="s">
        <v>2469</v>
      </c>
    </row>
    <row r="18" spans="1:15" s="565" customFormat="1" ht="68.25" customHeight="1" x14ac:dyDescent="0.4">
      <c r="A18" s="373" t="s">
        <v>1127</v>
      </c>
      <c r="B18" s="273" t="s">
        <v>1128</v>
      </c>
      <c r="C18" s="273" t="s">
        <v>312</v>
      </c>
      <c r="D18" s="569" t="s">
        <v>2460</v>
      </c>
      <c r="E18" s="269" t="s">
        <v>233</v>
      </c>
      <c r="F18" s="269" t="s">
        <v>2452</v>
      </c>
      <c r="G18" s="269" t="s">
        <v>2463</v>
      </c>
      <c r="H18" s="263" t="s">
        <v>2478</v>
      </c>
      <c r="I18" s="567" t="s">
        <v>2464</v>
      </c>
      <c r="J18" s="567" t="s">
        <v>2464</v>
      </c>
      <c r="K18" s="272">
        <v>44018</v>
      </c>
      <c r="L18" s="384">
        <v>18319</v>
      </c>
      <c r="M18" s="273" t="s">
        <v>2469</v>
      </c>
    </row>
    <row r="19" spans="1:15" s="565" customFormat="1" ht="68.25" customHeight="1" x14ac:dyDescent="0.4">
      <c r="A19" s="373" t="s">
        <v>1127</v>
      </c>
      <c r="B19" s="273" t="s">
        <v>1128</v>
      </c>
      <c r="C19" s="273" t="s">
        <v>312</v>
      </c>
      <c r="D19" s="569" t="s">
        <v>2471</v>
      </c>
      <c r="E19" s="269" t="s">
        <v>560</v>
      </c>
      <c r="F19" s="269" t="s">
        <v>2453</v>
      </c>
      <c r="G19" s="269" t="s">
        <v>2463</v>
      </c>
      <c r="H19" s="263" t="s">
        <v>2473</v>
      </c>
      <c r="I19" s="567" t="s">
        <v>2464</v>
      </c>
      <c r="J19" s="567" t="s">
        <v>2464</v>
      </c>
      <c r="K19" s="272">
        <v>44018</v>
      </c>
      <c r="L19" s="384">
        <v>3797</v>
      </c>
      <c r="M19" s="273" t="s">
        <v>2469</v>
      </c>
    </row>
    <row r="20" spans="1:15" s="565" customFormat="1" ht="68.25" customHeight="1" x14ac:dyDescent="0.4">
      <c r="A20" s="373" t="s">
        <v>1127</v>
      </c>
      <c r="B20" s="273" t="s">
        <v>1128</v>
      </c>
      <c r="C20" s="273" t="s">
        <v>312</v>
      </c>
      <c r="D20" s="569" t="s">
        <v>2468</v>
      </c>
      <c r="E20" s="269" t="s">
        <v>560</v>
      </c>
      <c r="F20" s="269" t="s">
        <v>2453</v>
      </c>
      <c r="G20" s="269" t="s">
        <v>2466</v>
      </c>
      <c r="H20" s="263" t="s">
        <v>2479</v>
      </c>
      <c r="I20" s="567" t="s">
        <v>2464</v>
      </c>
      <c r="J20" s="567" t="s">
        <v>2464</v>
      </c>
      <c r="K20" s="272">
        <v>44018</v>
      </c>
      <c r="L20" s="384">
        <v>225</v>
      </c>
      <c r="M20" s="273" t="s">
        <v>2469</v>
      </c>
    </row>
    <row r="21" spans="1:15" s="565" customFormat="1" ht="68.25" customHeight="1" x14ac:dyDescent="0.4">
      <c r="A21" s="373" t="s">
        <v>1127</v>
      </c>
      <c r="B21" s="273" t="s">
        <v>1128</v>
      </c>
      <c r="C21" s="273" t="s">
        <v>312</v>
      </c>
      <c r="D21" s="569" t="s">
        <v>2467</v>
      </c>
      <c r="E21" s="269" t="s">
        <v>771</v>
      </c>
      <c r="F21" s="269" t="s">
        <v>2454</v>
      </c>
      <c r="G21" s="269" t="s">
        <v>2463</v>
      </c>
      <c r="H21" s="263" t="s">
        <v>2480</v>
      </c>
      <c r="I21" s="567" t="s">
        <v>2464</v>
      </c>
      <c r="J21" s="567" t="s">
        <v>2464</v>
      </c>
      <c r="K21" s="272">
        <v>44018</v>
      </c>
      <c r="L21" s="384">
        <v>72200</v>
      </c>
      <c r="M21" s="273" t="s">
        <v>2469</v>
      </c>
    </row>
    <row r="22" spans="1:15" s="565" customFormat="1" ht="68.25" customHeight="1" x14ac:dyDescent="0.4">
      <c r="A22" s="373" t="s">
        <v>1127</v>
      </c>
      <c r="B22" s="273" t="s">
        <v>1128</v>
      </c>
      <c r="C22" s="273" t="s">
        <v>312</v>
      </c>
      <c r="D22" s="569" t="s">
        <v>2461</v>
      </c>
      <c r="E22" s="269" t="s">
        <v>553</v>
      </c>
      <c r="F22" s="269" t="s">
        <v>2448</v>
      </c>
      <c r="G22" s="269" t="s">
        <v>2463</v>
      </c>
      <c r="H22" s="263" t="s">
        <v>2473</v>
      </c>
      <c r="I22" s="567" t="s">
        <v>2464</v>
      </c>
      <c r="J22" s="567" t="s">
        <v>2464</v>
      </c>
      <c r="K22" s="272">
        <v>44074</v>
      </c>
      <c r="L22" s="384">
        <v>477129</v>
      </c>
      <c r="M22" s="273" t="s">
        <v>2469</v>
      </c>
    </row>
    <row r="23" spans="1:15" s="565" customFormat="1" ht="68.25" customHeight="1" x14ac:dyDescent="0.4">
      <c r="A23" s="371" t="s">
        <v>1109</v>
      </c>
      <c r="B23" s="273" t="s">
        <v>1128</v>
      </c>
      <c r="C23" s="273" t="s">
        <v>312</v>
      </c>
      <c r="D23" s="569" t="s">
        <v>2462</v>
      </c>
      <c r="E23" s="269" t="s">
        <v>536</v>
      </c>
      <c r="F23" s="269" t="s">
        <v>2455</v>
      </c>
      <c r="G23" s="269" t="s">
        <v>2482</v>
      </c>
      <c r="H23" s="263"/>
      <c r="I23" s="567" t="s">
        <v>2464</v>
      </c>
      <c r="J23" s="567" t="s">
        <v>2464</v>
      </c>
      <c r="K23" s="273" t="s">
        <v>2472</v>
      </c>
      <c r="L23" s="384">
        <v>40417</v>
      </c>
      <c r="M23" s="273" t="s">
        <v>2469</v>
      </c>
    </row>
    <row r="24" spans="1:15" ht="69" customHeight="1" x14ac:dyDescent="0.4">
      <c r="A24" s="373" t="s">
        <v>1127</v>
      </c>
      <c r="B24" s="273" t="s">
        <v>1254</v>
      </c>
      <c r="C24" s="273" t="s">
        <v>1129</v>
      </c>
      <c r="D24" s="570" t="s">
        <v>1130</v>
      </c>
      <c r="E24" s="263" t="s">
        <v>536</v>
      </c>
      <c r="F24" s="269" t="s">
        <v>1131</v>
      </c>
      <c r="G24" s="260" t="s">
        <v>1132</v>
      </c>
      <c r="H24" s="263" t="s">
        <v>2473</v>
      </c>
      <c r="I24" s="567" t="s">
        <v>1133</v>
      </c>
      <c r="J24" s="374" t="str">
        <f>RIGHT(I24, 6)</f>
        <v>FY2019</v>
      </c>
      <c r="K24" s="274">
        <v>43795</v>
      </c>
      <c r="L24" s="525">
        <v>862</v>
      </c>
      <c r="M24" s="240" t="s">
        <v>1198</v>
      </c>
    </row>
    <row r="25" spans="1:15" ht="69" customHeight="1" x14ac:dyDescent="0.4">
      <c r="A25" s="373" t="s">
        <v>1135</v>
      </c>
      <c r="B25" s="273" t="s">
        <v>1136</v>
      </c>
      <c r="C25" s="273" t="s">
        <v>1129</v>
      </c>
      <c r="D25" s="570" t="s">
        <v>1137</v>
      </c>
      <c r="E25" s="509" t="s">
        <v>1023</v>
      </c>
      <c r="F25" s="269" t="s">
        <v>1138</v>
      </c>
      <c r="G25" s="260" t="s">
        <v>147</v>
      </c>
      <c r="H25" s="263" t="s">
        <v>2477</v>
      </c>
      <c r="I25" s="567" t="s">
        <v>1139</v>
      </c>
      <c r="J25" s="374" t="str">
        <f>RIGHT(I25, 6)</f>
        <v>FY2019</v>
      </c>
      <c r="K25" s="274">
        <v>43795</v>
      </c>
      <c r="L25" s="525">
        <v>2661</v>
      </c>
      <c r="M25" s="240" t="s">
        <v>1140</v>
      </c>
    </row>
    <row r="26" spans="1:15" ht="69" customHeight="1" x14ac:dyDescent="0.4">
      <c r="A26" s="373" t="s">
        <v>1141</v>
      </c>
      <c r="B26" s="273" t="s">
        <v>1128</v>
      </c>
      <c r="C26" s="273" t="s">
        <v>1142</v>
      </c>
      <c r="D26" s="570" t="s">
        <v>1143</v>
      </c>
      <c r="E26" s="263" t="s">
        <v>233</v>
      </c>
      <c r="F26" s="269" t="s">
        <v>1144</v>
      </c>
      <c r="G26" s="260" t="s">
        <v>1132</v>
      </c>
      <c r="H26" s="508" t="s">
        <v>2478</v>
      </c>
      <c r="I26" s="567" t="s">
        <v>1145</v>
      </c>
      <c r="J26" s="374" t="str">
        <f t="shared" ref="J26:J89" si="0">RIGHT(I26, 6)</f>
        <v>FY2019</v>
      </c>
      <c r="K26" s="274">
        <v>43795</v>
      </c>
      <c r="L26" s="525">
        <v>6839</v>
      </c>
      <c r="M26" s="240" t="s">
        <v>1140</v>
      </c>
      <c r="O26" t="s">
        <v>2443</v>
      </c>
    </row>
    <row r="27" spans="1:15" ht="69" customHeight="1" x14ac:dyDescent="0.4">
      <c r="A27" s="373" t="s">
        <v>1135</v>
      </c>
      <c r="B27" s="273" t="s">
        <v>1136</v>
      </c>
      <c r="C27" s="273" t="s">
        <v>1129</v>
      </c>
      <c r="D27" s="570" t="s">
        <v>1146</v>
      </c>
      <c r="E27" s="263" t="s">
        <v>233</v>
      </c>
      <c r="F27" s="269" t="s">
        <v>1147</v>
      </c>
      <c r="G27" s="260" t="s">
        <v>147</v>
      </c>
      <c r="H27" s="508" t="s">
        <v>2476</v>
      </c>
      <c r="I27" s="567" t="s">
        <v>1145</v>
      </c>
      <c r="J27" s="374" t="str">
        <f t="shared" si="0"/>
        <v>FY2019</v>
      </c>
      <c r="K27" s="274">
        <v>43795</v>
      </c>
      <c r="L27" s="525">
        <v>975</v>
      </c>
      <c r="M27" s="240" t="s">
        <v>1134</v>
      </c>
    </row>
    <row r="28" spans="1:15" ht="69" customHeight="1" x14ac:dyDescent="0.4">
      <c r="A28" s="373" t="s">
        <v>1127</v>
      </c>
      <c r="B28" s="273" t="s">
        <v>1148</v>
      </c>
      <c r="C28" s="273" t="s">
        <v>1142</v>
      </c>
      <c r="D28" s="570" t="s">
        <v>1149</v>
      </c>
      <c r="E28" s="263" t="s">
        <v>183</v>
      </c>
      <c r="F28" s="269" t="s">
        <v>1150</v>
      </c>
      <c r="G28" s="260" t="s">
        <v>1151</v>
      </c>
      <c r="H28" s="508" t="s">
        <v>2476</v>
      </c>
      <c r="I28" s="567" t="s">
        <v>1145</v>
      </c>
      <c r="J28" s="374" t="str">
        <f t="shared" si="0"/>
        <v>FY2019</v>
      </c>
      <c r="K28" s="274">
        <v>43795</v>
      </c>
      <c r="L28" s="525">
        <v>8567</v>
      </c>
      <c r="M28" s="240" t="s">
        <v>1134</v>
      </c>
    </row>
    <row r="29" spans="1:15" ht="69" customHeight="1" x14ac:dyDescent="0.4">
      <c r="A29" s="373" t="s">
        <v>1135</v>
      </c>
      <c r="B29" s="273" t="s">
        <v>1136</v>
      </c>
      <c r="C29" s="273" t="s">
        <v>1152</v>
      </c>
      <c r="D29" s="570" t="s">
        <v>1153</v>
      </c>
      <c r="E29" s="263" t="s">
        <v>207</v>
      </c>
      <c r="F29" s="269" t="s">
        <v>1154</v>
      </c>
      <c r="G29" s="260" t="s">
        <v>1155</v>
      </c>
      <c r="H29" s="263" t="s">
        <v>2473</v>
      </c>
      <c r="I29" s="567" t="s">
        <v>1145</v>
      </c>
      <c r="J29" s="374" t="str">
        <f t="shared" si="0"/>
        <v>FY2019</v>
      </c>
      <c r="K29" s="274">
        <v>43854</v>
      </c>
      <c r="L29" s="525">
        <v>30007</v>
      </c>
      <c r="M29" s="240" t="s">
        <v>1134</v>
      </c>
    </row>
    <row r="30" spans="1:15" ht="69" customHeight="1" x14ac:dyDescent="0.4">
      <c r="A30" s="373" t="s">
        <v>1127</v>
      </c>
      <c r="B30" s="273" t="s">
        <v>1136</v>
      </c>
      <c r="C30" s="273" t="s">
        <v>1142</v>
      </c>
      <c r="D30" s="570" t="s">
        <v>1156</v>
      </c>
      <c r="E30" s="509" t="s">
        <v>1023</v>
      </c>
      <c r="F30" s="269" t="s">
        <v>1157</v>
      </c>
      <c r="G30" s="260" t="s">
        <v>1155</v>
      </c>
      <c r="H30" s="263" t="s">
        <v>2473</v>
      </c>
      <c r="I30" s="567" t="s">
        <v>1145</v>
      </c>
      <c r="J30" s="374" t="str">
        <f t="shared" si="0"/>
        <v>FY2019</v>
      </c>
      <c r="K30" s="274">
        <v>43854</v>
      </c>
      <c r="L30" s="525">
        <v>24021</v>
      </c>
      <c r="M30" s="240" t="s">
        <v>1134</v>
      </c>
    </row>
    <row r="31" spans="1:15" ht="69" customHeight="1" x14ac:dyDescent="0.4">
      <c r="A31" s="373" t="s">
        <v>1127</v>
      </c>
      <c r="B31" s="273" t="s">
        <v>1136</v>
      </c>
      <c r="C31" s="273" t="s">
        <v>1152</v>
      </c>
      <c r="D31" s="570" t="s">
        <v>2428</v>
      </c>
      <c r="E31" s="509" t="s">
        <v>1023</v>
      </c>
      <c r="F31" s="269" t="s">
        <v>1158</v>
      </c>
      <c r="G31" s="263" t="s">
        <v>404</v>
      </c>
      <c r="H31" s="263" t="s">
        <v>2477</v>
      </c>
      <c r="I31" s="567" t="s">
        <v>1139</v>
      </c>
      <c r="J31" s="374" t="str">
        <f t="shared" si="0"/>
        <v>FY2019</v>
      </c>
      <c r="K31" s="274">
        <v>43854</v>
      </c>
      <c r="L31" s="525">
        <v>2661</v>
      </c>
      <c r="M31" s="240" t="s">
        <v>1159</v>
      </c>
    </row>
    <row r="32" spans="1:15" ht="69" customHeight="1" x14ac:dyDescent="0.4">
      <c r="A32" s="373" t="s">
        <v>1127</v>
      </c>
      <c r="B32" s="273" t="s">
        <v>1136</v>
      </c>
      <c r="C32" s="273" t="s">
        <v>1129</v>
      </c>
      <c r="D32" s="570" t="s">
        <v>1160</v>
      </c>
      <c r="E32" s="263" t="s">
        <v>233</v>
      </c>
      <c r="F32" s="269" t="s">
        <v>1161</v>
      </c>
      <c r="G32" s="260" t="s">
        <v>1155</v>
      </c>
      <c r="H32" s="508" t="s">
        <v>2478</v>
      </c>
      <c r="I32" s="567" t="s">
        <v>1145</v>
      </c>
      <c r="J32" s="374" t="str">
        <f t="shared" si="0"/>
        <v>FY2019</v>
      </c>
      <c r="K32" s="274">
        <v>43854</v>
      </c>
      <c r="L32" s="525">
        <v>35950</v>
      </c>
      <c r="M32" s="240" t="s">
        <v>1159</v>
      </c>
    </row>
    <row r="33" spans="1:13" ht="69" customHeight="1" x14ac:dyDescent="0.4">
      <c r="A33" s="373" t="s">
        <v>1141</v>
      </c>
      <c r="B33" s="273" t="s">
        <v>1148</v>
      </c>
      <c r="C33" s="273" t="s">
        <v>1129</v>
      </c>
      <c r="D33" s="570" t="s">
        <v>1162</v>
      </c>
      <c r="E33" s="263" t="s">
        <v>233</v>
      </c>
      <c r="F33" s="269" t="s">
        <v>1161</v>
      </c>
      <c r="G33" s="260" t="s">
        <v>1155</v>
      </c>
      <c r="H33" s="508" t="s">
        <v>2478</v>
      </c>
      <c r="I33" s="567" t="s">
        <v>1139</v>
      </c>
      <c r="J33" s="374" t="str">
        <f t="shared" si="0"/>
        <v>FY2019</v>
      </c>
      <c r="K33" s="274">
        <v>43854</v>
      </c>
      <c r="L33" s="525">
        <v>17242</v>
      </c>
      <c r="M33" s="240" t="s">
        <v>1134</v>
      </c>
    </row>
    <row r="34" spans="1:13" ht="69" customHeight="1" x14ac:dyDescent="0.4">
      <c r="A34" s="373" t="s">
        <v>1135</v>
      </c>
      <c r="B34" s="273" t="s">
        <v>1148</v>
      </c>
      <c r="C34" s="273" t="s">
        <v>1152</v>
      </c>
      <c r="D34" s="570" t="s">
        <v>1163</v>
      </c>
      <c r="E34" s="263" t="s">
        <v>444</v>
      </c>
      <c r="F34" s="269" t="s">
        <v>1164</v>
      </c>
      <c r="G34" s="260" t="s">
        <v>1132</v>
      </c>
      <c r="H34" s="508" t="s">
        <v>2478</v>
      </c>
      <c r="I34" s="567" t="s">
        <v>1145</v>
      </c>
      <c r="J34" s="374" t="str">
        <f t="shared" si="0"/>
        <v>FY2019</v>
      </c>
      <c r="K34" s="274">
        <v>43854</v>
      </c>
      <c r="L34" s="525">
        <v>1881</v>
      </c>
      <c r="M34" s="240" t="s">
        <v>1134</v>
      </c>
    </row>
    <row r="35" spans="1:13" ht="69" customHeight="1" x14ac:dyDescent="0.4">
      <c r="A35" s="373" t="s">
        <v>1141</v>
      </c>
      <c r="B35" s="273" t="s">
        <v>1128</v>
      </c>
      <c r="C35" s="273" t="s">
        <v>1129</v>
      </c>
      <c r="D35" s="570" t="s">
        <v>1165</v>
      </c>
      <c r="E35" s="263" t="s">
        <v>444</v>
      </c>
      <c r="F35" s="269" t="s">
        <v>1150</v>
      </c>
      <c r="G35" s="260" t="s">
        <v>1155</v>
      </c>
      <c r="H35" s="263" t="s">
        <v>2473</v>
      </c>
      <c r="I35" s="567" t="s">
        <v>1145</v>
      </c>
      <c r="J35" s="374" t="str">
        <f t="shared" si="0"/>
        <v>FY2019</v>
      </c>
      <c r="K35" s="274">
        <v>43854</v>
      </c>
      <c r="L35" s="525">
        <v>503</v>
      </c>
      <c r="M35" s="240" t="s">
        <v>1159</v>
      </c>
    </row>
    <row r="36" spans="1:13" ht="69" customHeight="1" x14ac:dyDescent="0.4">
      <c r="A36" s="373" t="s">
        <v>1135</v>
      </c>
      <c r="B36" s="273" t="s">
        <v>1136</v>
      </c>
      <c r="C36" s="273" t="s">
        <v>1152</v>
      </c>
      <c r="D36" s="571" t="s">
        <v>1166</v>
      </c>
      <c r="E36" s="263" t="s">
        <v>183</v>
      </c>
      <c r="F36" s="269" t="s">
        <v>1167</v>
      </c>
      <c r="G36" s="260" t="s">
        <v>1155</v>
      </c>
      <c r="H36" s="263" t="s">
        <v>2473</v>
      </c>
      <c r="I36" s="567" t="s">
        <v>1145</v>
      </c>
      <c r="J36" s="374" t="str">
        <f t="shared" si="0"/>
        <v>FY2019</v>
      </c>
      <c r="K36" s="274">
        <v>43854</v>
      </c>
      <c r="L36" s="525">
        <v>1899</v>
      </c>
      <c r="M36" s="240" t="s">
        <v>1140</v>
      </c>
    </row>
    <row r="37" spans="1:13" ht="69" customHeight="1" x14ac:dyDescent="0.4">
      <c r="A37" s="373" t="s">
        <v>1141</v>
      </c>
      <c r="B37" s="273" t="s">
        <v>1136</v>
      </c>
      <c r="C37" s="273" t="s">
        <v>1152</v>
      </c>
      <c r="D37" s="571" t="s">
        <v>1168</v>
      </c>
      <c r="E37" s="263" t="s">
        <v>560</v>
      </c>
      <c r="F37" s="269" t="s">
        <v>1169</v>
      </c>
      <c r="G37" s="260" t="s">
        <v>1170</v>
      </c>
      <c r="H37" s="581" t="s">
        <v>1465</v>
      </c>
      <c r="I37" s="567" t="s">
        <v>1145</v>
      </c>
      <c r="J37" s="374" t="str">
        <f t="shared" si="0"/>
        <v>FY2019</v>
      </c>
      <c r="K37" s="274">
        <v>43854</v>
      </c>
      <c r="L37" s="525">
        <v>11999</v>
      </c>
      <c r="M37" s="240" t="s">
        <v>1159</v>
      </c>
    </row>
    <row r="38" spans="1:13" ht="69" customHeight="1" x14ac:dyDescent="0.4">
      <c r="A38" s="373" t="s">
        <v>1127</v>
      </c>
      <c r="B38" s="273" t="s">
        <v>1128</v>
      </c>
      <c r="C38" s="273" t="s">
        <v>1142</v>
      </c>
      <c r="D38" s="571" t="s">
        <v>1171</v>
      </c>
      <c r="E38" s="263" t="s">
        <v>771</v>
      </c>
      <c r="F38" s="269" t="s">
        <v>1172</v>
      </c>
      <c r="G38" s="260" t="s">
        <v>1132</v>
      </c>
      <c r="H38" s="508" t="s">
        <v>2483</v>
      </c>
      <c r="I38" s="567" t="s">
        <v>1145</v>
      </c>
      <c r="J38" s="374" t="str">
        <f t="shared" si="0"/>
        <v>FY2019</v>
      </c>
      <c r="K38" s="274">
        <v>43854</v>
      </c>
      <c r="L38" s="525">
        <v>35350</v>
      </c>
      <c r="M38" s="240" t="s">
        <v>1134</v>
      </c>
    </row>
    <row r="39" spans="1:13" ht="69" customHeight="1" x14ac:dyDescent="0.4">
      <c r="A39" s="371" t="s">
        <v>1109</v>
      </c>
      <c r="B39" s="273" t="s">
        <v>2297</v>
      </c>
      <c r="C39" s="273" t="s">
        <v>1152</v>
      </c>
      <c r="D39" s="570" t="s">
        <v>1173</v>
      </c>
      <c r="E39" s="263" t="s">
        <v>509</v>
      </c>
      <c r="F39" s="269" t="s">
        <v>1174</v>
      </c>
      <c r="G39" s="263" t="s">
        <v>147</v>
      </c>
      <c r="H39" s="508"/>
      <c r="I39" s="567" t="s">
        <v>1145</v>
      </c>
      <c r="J39" s="374" t="str">
        <f t="shared" si="0"/>
        <v>FY2019</v>
      </c>
      <c r="K39" s="272" t="s">
        <v>2429</v>
      </c>
      <c r="L39" s="525">
        <v>2993</v>
      </c>
      <c r="M39" s="265" t="s">
        <v>1134</v>
      </c>
    </row>
    <row r="40" spans="1:13" ht="69" customHeight="1" x14ac:dyDescent="0.4">
      <c r="A40" s="373" t="s">
        <v>1135</v>
      </c>
      <c r="B40" s="273" t="s">
        <v>1136</v>
      </c>
      <c r="C40" s="273" t="s">
        <v>1152</v>
      </c>
      <c r="D40" s="572" t="s">
        <v>1175</v>
      </c>
      <c r="E40" s="509" t="s">
        <v>1176</v>
      </c>
      <c r="F40" s="236" t="s">
        <v>1177</v>
      </c>
      <c r="G40" s="260" t="s">
        <v>1170</v>
      </c>
      <c r="H40" s="566" t="s">
        <v>2485</v>
      </c>
      <c r="I40" s="567" t="s">
        <v>1139</v>
      </c>
      <c r="J40" s="374" t="str">
        <f t="shared" si="0"/>
        <v>FY2019</v>
      </c>
      <c r="K40" s="253">
        <v>43679</v>
      </c>
      <c r="L40" s="376">
        <v>16211</v>
      </c>
      <c r="M40" s="240" t="s">
        <v>1134</v>
      </c>
    </row>
    <row r="41" spans="1:13" ht="69" customHeight="1" x14ac:dyDescent="0.4">
      <c r="A41" s="373" t="s">
        <v>840</v>
      </c>
      <c r="B41" s="273" t="s">
        <v>1148</v>
      </c>
      <c r="C41" s="273" t="s">
        <v>1129</v>
      </c>
      <c r="D41" s="572" t="s">
        <v>1178</v>
      </c>
      <c r="E41" s="369" t="s">
        <v>560</v>
      </c>
      <c r="F41" s="236" t="s">
        <v>1179</v>
      </c>
      <c r="G41" s="260" t="s">
        <v>1155</v>
      </c>
      <c r="H41" s="263" t="s">
        <v>2473</v>
      </c>
      <c r="I41" s="567" t="s">
        <v>1139</v>
      </c>
      <c r="J41" s="374" t="str">
        <f t="shared" si="0"/>
        <v>FY2019</v>
      </c>
      <c r="K41" s="253">
        <v>43679</v>
      </c>
      <c r="L41" s="376">
        <v>19512</v>
      </c>
      <c r="M41" s="265" t="s">
        <v>1134</v>
      </c>
    </row>
    <row r="42" spans="1:13" ht="69" customHeight="1" x14ac:dyDescent="0.4">
      <c r="A42" s="373" t="s">
        <v>840</v>
      </c>
      <c r="B42" s="273" t="s">
        <v>1136</v>
      </c>
      <c r="C42" s="273" t="s">
        <v>1129</v>
      </c>
      <c r="D42" s="572" t="s">
        <v>1180</v>
      </c>
      <c r="E42" s="369" t="s">
        <v>560</v>
      </c>
      <c r="F42" s="236" t="s">
        <v>1181</v>
      </c>
      <c r="G42" s="260" t="s">
        <v>1151</v>
      </c>
      <c r="H42" s="508" t="s">
        <v>2484</v>
      </c>
      <c r="I42" s="567" t="s">
        <v>1145</v>
      </c>
      <c r="J42" s="374" t="str">
        <f t="shared" si="0"/>
        <v>FY2019</v>
      </c>
      <c r="K42" s="253">
        <v>43679</v>
      </c>
      <c r="L42" s="376">
        <v>359</v>
      </c>
      <c r="M42" s="265" t="s">
        <v>1134</v>
      </c>
    </row>
    <row r="43" spans="1:13" ht="69" customHeight="1" x14ac:dyDescent="0.4">
      <c r="A43" s="373" t="s">
        <v>840</v>
      </c>
      <c r="B43" s="273" t="s">
        <v>1136</v>
      </c>
      <c r="C43" s="273" t="s">
        <v>1152</v>
      </c>
      <c r="D43" s="572" t="s">
        <v>1182</v>
      </c>
      <c r="E43" s="369" t="s">
        <v>771</v>
      </c>
      <c r="F43" s="236" t="s">
        <v>1183</v>
      </c>
      <c r="G43" s="260" t="s">
        <v>1151</v>
      </c>
      <c r="H43" s="581" t="s">
        <v>1465</v>
      </c>
      <c r="I43" s="567" t="s">
        <v>1145</v>
      </c>
      <c r="J43" s="374" t="str">
        <f t="shared" si="0"/>
        <v>FY2019</v>
      </c>
      <c r="K43" s="253">
        <v>43679</v>
      </c>
      <c r="L43" s="376">
        <v>49648</v>
      </c>
      <c r="M43" s="265" t="s">
        <v>1134</v>
      </c>
    </row>
    <row r="44" spans="1:13" ht="69" customHeight="1" x14ac:dyDescent="0.4">
      <c r="A44" s="373" t="s">
        <v>840</v>
      </c>
      <c r="B44" s="273" t="s">
        <v>1128</v>
      </c>
      <c r="C44" s="273" t="s">
        <v>1152</v>
      </c>
      <c r="D44" s="572" t="s">
        <v>1184</v>
      </c>
      <c r="E44" s="260" t="s">
        <v>1185</v>
      </c>
      <c r="F44" s="236" t="s">
        <v>1186</v>
      </c>
      <c r="G44" s="260" t="s">
        <v>147</v>
      </c>
      <c r="H44" s="508" t="s">
        <v>2476</v>
      </c>
      <c r="I44" s="567" t="s">
        <v>1133</v>
      </c>
      <c r="J44" s="374" t="str">
        <f t="shared" si="0"/>
        <v>FY2019</v>
      </c>
      <c r="K44" s="253">
        <v>43643</v>
      </c>
      <c r="L44" s="376">
        <v>5781</v>
      </c>
      <c r="M44" s="265" t="s">
        <v>1134</v>
      </c>
    </row>
    <row r="45" spans="1:13" ht="69" customHeight="1" x14ac:dyDescent="0.4">
      <c r="A45" s="373" t="s">
        <v>840</v>
      </c>
      <c r="B45" s="273" t="s">
        <v>1136</v>
      </c>
      <c r="C45" s="273" t="s">
        <v>1152</v>
      </c>
      <c r="D45" s="572" t="s">
        <v>1187</v>
      </c>
      <c r="E45" s="369" t="s">
        <v>548</v>
      </c>
      <c r="F45" s="236" t="s">
        <v>1154</v>
      </c>
      <c r="G45" s="260" t="s">
        <v>1155</v>
      </c>
      <c r="H45" s="263" t="s">
        <v>2473</v>
      </c>
      <c r="I45" s="567" t="s">
        <v>1133</v>
      </c>
      <c r="J45" s="374" t="str">
        <f t="shared" si="0"/>
        <v>FY2019</v>
      </c>
      <c r="K45" s="253">
        <v>43643</v>
      </c>
      <c r="L45" s="376">
        <v>843</v>
      </c>
      <c r="M45" s="265" t="s">
        <v>1134</v>
      </c>
    </row>
    <row r="46" spans="1:13" ht="69" customHeight="1" x14ac:dyDescent="0.4">
      <c r="A46" s="373" t="s">
        <v>840</v>
      </c>
      <c r="B46" s="273" t="s">
        <v>1136</v>
      </c>
      <c r="C46" s="273" t="s">
        <v>1152</v>
      </c>
      <c r="D46" s="572" t="s">
        <v>1188</v>
      </c>
      <c r="E46" s="260" t="s">
        <v>1189</v>
      </c>
      <c r="F46" s="236" t="s">
        <v>1154</v>
      </c>
      <c r="G46" s="260" t="s">
        <v>1155</v>
      </c>
      <c r="H46" s="263" t="s">
        <v>2473</v>
      </c>
      <c r="I46" s="567" t="s">
        <v>1133</v>
      </c>
      <c r="J46" s="374" t="str">
        <f t="shared" si="0"/>
        <v>FY2019</v>
      </c>
      <c r="K46" s="253">
        <v>43643</v>
      </c>
      <c r="L46" s="376">
        <v>36807</v>
      </c>
      <c r="M46" s="265" t="s">
        <v>1134</v>
      </c>
    </row>
    <row r="47" spans="1:13" ht="69" customHeight="1" x14ac:dyDescent="0.4">
      <c r="A47" s="373" t="s">
        <v>840</v>
      </c>
      <c r="B47" s="273" t="s">
        <v>1128</v>
      </c>
      <c r="C47" s="273" t="s">
        <v>1152</v>
      </c>
      <c r="D47" s="572" t="s">
        <v>1190</v>
      </c>
      <c r="E47" s="369" t="s">
        <v>771</v>
      </c>
      <c r="F47" s="236" t="s">
        <v>1191</v>
      </c>
      <c r="G47" s="260" t="s">
        <v>1132</v>
      </c>
      <c r="H47" s="508" t="s">
        <v>2478</v>
      </c>
      <c r="I47" s="567" t="s">
        <v>1139</v>
      </c>
      <c r="J47" s="374" t="str">
        <f t="shared" si="0"/>
        <v>FY2019</v>
      </c>
      <c r="K47" s="253">
        <v>43643</v>
      </c>
      <c r="L47" s="376">
        <v>46836</v>
      </c>
      <c r="M47" s="265" t="s">
        <v>1134</v>
      </c>
    </row>
    <row r="48" spans="1:13" ht="69" customHeight="1" x14ac:dyDescent="0.4">
      <c r="A48" s="373" t="s">
        <v>840</v>
      </c>
      <c r="B48" s="273" t="s">
        <v>1148</v>
      </c>
      <c r="C48" s="273" t="s">
        <v>1152</v>
      </c>
      <c r="D48" s="572" t="s">
        <v>1192</v>
      </c>
      <c r="E48" s="369" t="s">
        <v>771</v>
      </c>
      <c r="F48" s="236" t="s">
        <v>1193</v>
      </c>
      <c r="G48" s="260" t="s">
        <v>1194</v>
      </c>
      <c r="H48" s="263" t="s">
        <v>2473</v>
      </c>
      <c r="I48" s="567" t="s">
        <v>1139</v>
      </c>
      <c r="J48" s="374" t="str">
        <f t="shared" si="0"/>
        <v>FY2019</v>
      </c>
      <c r="K48" s="253">
        <v>43643</v>
      </c>
      <c r="L48" s="376">
        <v>11981</v>
      </c>
      <c r="M48" s="265" t="s">
        <v>1159</v>
      </c>
    </row>
    <row r="49" spans="1:13" ht="69" customHeight="1" x14ac:dyDescent="0.4">
      <c r="A49" s="526" t="s">
        <v>1112</v>
      </c>
      <c r="B49" s="273" t="s">
        <v>1200</v>
      </c>
      <c r="C49" s="273" t="s">
        <v>1152</v>
      </c>
      <c r="D49" s="572" t="s">
        <v>2290</v>
      </c>
      <c r="E49" s="509" t="s">
        <v>1195</v>
      </c>
      <c r="F49" s="269" t="s">
        <v>1196</v>
      </c>
      <c r="G49" s="260" t="s">
        <v>1197</v>
      </c>
      <c r="H49" s="508"/>
      <c r="I49" s="567" t="s">
        <v>2446</v>
      </c>
      <c r="J49" s="374" t="str">
        <f t="shared" si="0"/>
        <v>FY2018</v>
      </c>
      <c r="K49" s="253" t="s">
        <v>1152</v>
      </c>
      <c r="L49" s="380">
        <v>6500</v>
      </c>
      <c r="M49" s="240" t="s">
        <v>1134</v>
      </c>
    </row>
    <row r="50" spans="1:13" ht="69" customHeight="1" x14ac:dyDescent="0.4">
      <c r="A50" s="526" t="s">
        <v>1199</v>
      </c>
      <c r="B50" s="273" t="s">
        <v>1200</v>
      </c>
      <c r="C50" s="273" t="s">
        <v>1129</v>
      </c>
      <c r="D50" s="572" t="s">
        <v>2291</v>
      </c>
      <c r="E50" s="369" t="s">
        <v>560</v>
      </c>
      <c r="F50" s="269" t="s">
        <v>1201</v>
      </c>
      <c r="G50" s="260" t="s">
        <v>1197</v>
      </c>
      <c r="H50" s="508"/>
      <c r="I50" s="567" t="s">
        <v>2446</v>
      </c>
      <c r="J50" s="374" t="str">
        <f t="shared" si="0"/>
        <v>FY2018</v>
      </c>
      <c r="K50" s="253" t="s">
        <v>1152</v>
      </c>
      <c r="L50" s="380">
        <v>20000</v>
      </c>
      <c r="M50" s="265" t="s">
        <v>1134</v>
      </c>
    </row>
    <row r="51" spans="1:13" ht="69" customHeight="1" x14ac:dyDescent="0.4">
      <c r="A51" s="373" t="s">
        <v>840</v>
      </c>
      <c r="B51" s="273" t="s">
        <v>2249</v>
      </c>
      <c r="C51" s="273" t="s">
        <v>1152</v>
      </c>
      <c r="D51" s="572" t="s">
        <v>1203</v>
      </c>
      <c r="E51" s="369" t="s">
        <v>430</v>
      </c>
      <c r="F51" s="236" t="s">
        <v>1204</v>
      </c>
      <c r="G51" s="260" t="s">
        <v>1155</v>
      </c>
      <c r="H51" s="263" t="s">
        <v>1205</v>
      </c>
      <c r="I51" s="567" t="s">
        <v>1206</v>
      </c>
      <c r="J51" s="374" t="str">
        <f t="shared" si="0"/>
        <v>FY2018</v>
      </c>
      <c r="K51" s="253">
        <v>43494</v>
      </c>
      <c r="L51" s="376">
        <v>35034</v>
      </c>
      <c r="M51" s="265" t="s">
        <v>1134</v>
      </c>
    </row>
    <row r="52" spans="1:13" ht="69" customHeight="1" x14ac:dyDescent="0.4">
      <c r="A52" s="373" t="s">
        <v>840</v>
      </c>
      <c r="B52" s="273" t="s">
        <v>1136</v>
      </c>
      <c r="C52" s="273" t="s">
        <v>1152</v>
      </c>
      <c r="D52" s="572" t="s">
        <v>1207</v>
      </c>
      <c r="E52" s="369" t="s">
        <v>458</v>
      </c>
      <c r="F52" s="236" t="s">
        <v>1204</v>
      </c>
      <c r="G52" s="260" t="s">
        <v>1155</v>
      </c>
      <c r="H52" s="263" t="s">
        <v>1205</v>
      </c>
      <c r="I52" s="567" t="s">
        <v>1206</v>
      </c>
      <c r="J52" s="374" t="str">
        <f t="shared" si="0"/>
        <v>FY2018</v>
      </c>
      <c r="K52" s="253">
        <v>43494</v>
      </c>
      <c r="L52" s="376">
        <v>4784</v>
      </c>
      <c r="M52" s="265" t="s">
        <v>1134</v>
      </c>
    </row>
    <row r="53" spans="1:13" ht="69" customHeight="1" x14ac:dyDescent="0.4">
      <c r="A53" s="373" t="s">
        <v>840</v>
      </c>
      <c r="B53" s="273" t="s">
        <v>1128</v>
      </c>
      <c r="C53" s="273" t="s">
        <v>1129</v>
      </c>
      <c r="D53" s="572" t="s">
        <v>1208</v>
      </c>
      <c r="E53" s="369" t="s">
        <v>1209</v>
      </c>
      <c r="F53" s="236" t="s">
        <v>1210</v>
      </c>
      <c r="G53" s="260" t="s">
        <v>1211</v>
      </c>
      <c r="H53" s="263" t="s">
        <v>1212</v>
      </c>
      <c r="I53" s="567" t="s">
        <v>1206</v>
      </c>
      <c r="J53" s="374" t="str">
        <f t="shared" si="0"/>
        <v>FY2018</v>
      </c>
      <c r="K53" s="253">
        <v>43494</v>
      </c>
      <c r="L53" s="376">
        <v>31322</v>
      </c>
      <c r="M53" s="265" t="s">
        <v>1159</v>
      </c>
    </row>
    <row r="54" spans="1:13" ht="69" customHeight="1" x14ac:dyDescent="0.4">
      <c r="A54" s="373" t="s">
        <v>840</v>
      </c>
      <c r="B54" s="273" t="s">
        <v>1200</v>
      </c>
      <c r="C54" s="273" t="s">
        <v>1152</v>
      </c>
      <c r="D54" s="570" t="s">
        <v>1213</v>
      </c>
      <c r="E54" s="369" t="s">
        <v>233</v>
      </c>
      <c r="F54" s="236" t="s">
        <v>1214</v>
      </c>
      <c r="G54" s="260" t="s">
        <v>147</v>
      </c>
      <c r="H54" s="263" t="s">
        <v>1215</v>
      </c>
      <c r="I54" s="567" t="s">
        <v>1206</v>
      </c>
      <c r="J54" s="374" t="str">
        <f t="shared" si="0"/>
        <v>FY2018</v>
      </c>
      <c r="K54" s="253">
        <v>43494</v>
      </c>
      <c r="L54" s="376">
        <v>4462</v>
      </c>
      <c r="M54" s="265" t="s">
        <v>1159</v>
      </c>
    </row>
    <row r="55" spans="1:13" ht="69" customHeight="1" x14ac:dyDescent="0.4">
      <c r="A55" s="373" t="s">
        <v>840</v>
      </c>
      <c r="B55" s="273" t="s">
        <v>1128</v>
      </c>
      <c r="C55" s="273" t="s">
        <v>1129</v>
      </c>
      <c r="D55" s="572" t="s">
        <v>1216</v>
      </c>
      <c r="E55" s="369" t="s">
        <v>560</v>
      </c>
      <c r="F55" s="236" t="s">
        <v>1217</v>
      </c>
      <c r="G55" s="260" t="s">
        <v>1211</v>
      </c>
      <c r="H55" s="254" t="s">
        <v>1218</v>
      </c>
      <c r="I55" s="567" t="s">
        <v>1206</v>
      </c>
      <c r="J55" s="374" t="str">
        <f t="shared" si="0"/>
        <v>FY2018</v>
      </c>
      <c r="K55" s="253">
        <v>43494</v>
      </c>
      <c r="L55" s="376">
        <v>29759</v>
      </c>
      <c r="M55" s="265" t="s">
        <v>1134</v>
      </c>
    </row>
    <row r="56" spans="1:13" ht="69" customHeight="1" x14ac:dyDescent="0.4">
      <c r="A56" s="373" t="s">
        <v>1135</v>
      </c>
      <c r="B56" s="273" t="s">
        <v>1148</v>
      </c>
      <c r="C56" s="273" t="s">
        <v>1219</v>
      </c>
      <c r="D56" s="572" t="s">
        <v>1220</v>
      </c>
      <c r="E56" s="369" t="s">
        <v>1221</v>
      </c>
      <c r="F56" s="236" t="s">
        <v>1222</v>
      </c>
      <c r="G56" s="260" t="s">
        <v>1194</v>
      </c>
      <c r="H56" s="263" t="s">
        <v>1223</v>
      </c>
      <c r="I56" s="567" t="s">
        <v>1202</v>
      </c>
      <c r="J56" s="374" t="str">
        <f t="shared" si="0"/>
        <v>FY2018</v>
      </c>
      <c r="K56" s="253">
        <v>43494</v>
      </c>
      <c r="L56" s="376">
        <v>481</v>
      </c>
      <c r="M56" s="265" t="s">
        <v>1134</v>
      </c>
    </row>
    <row r="57" spans="1:13" ht="69" customHeight="1" x14ac:dyDescent="0.4">
      <c r="A57" s="373" t="s">
        <v>840</v>
      </c>
      <c r="B57" s="273" t="s">
        <v>1136</v>
      </c>
      <c r="C57" s="273" t="s">
        <v>1142</v>
      </c>
      <c r="D57" s="572" t="s">
        <v>1224</v>
      </c>
      <c r="E57" s="369" t="s">
        <v>233</v>
      </c>
      <c r="F57" s="236" t="s">
        <v>1225</v>
      </c>
      <c r="G57" s="260" t="s">
        <v>1155</v>
      </c>
      <c r="H57" s="263" t="s">
        <v>1226</v>
      </c>
      <c r="I57" s="567" t="s">
        <v>1206</v>
      </c>
      <c r="J57" s="374" t="str">
        <f t="shared" si="0"/>
        <v>FY2018</v>
      </c>
      <c r="K57" s="253">
        <v>43437</v>
      </c>
      <c r="L57" s="376">
        <v>1133</v>
      </c>
      <c r="M57" s="265" t="s">
        <v>1159</v>
      </c>
    </row>
    <row r="58" spans="1:13" ht="69" customHeight="1" x14ac:dyDescent="0.4">
      <c r="A58" s="373" t="s">
        <v>840</v>
      </c>
      <c r="B58" s="273" t="s">
        <v>1136</v>
      </c>
      <c r="C58" s="273" t="s">
        <v>1129</v>
      </c>
      <c r="D58" s="572" t="s">
        <v>1227</v>
      </c>
      <c r="E58" s="369" t="s">
        <v>542</v>
      </c>
      <c r="F58" s="236" t="s">
        <v>1228</v>
      </c>
      <c r="G58" s="260" t="s">
        <v>147</v>
      </c>
      <c r="H58" s="292" t="s">
        <v>1229</v>
      </c>
      <c r="I58" s="567" t="s">
        <v>1206</v>
      </c>
      <c r="J58" s="374" t="str">
        <f t="shared" si="0"/>
        <v>FY2018</v>
      </c>
      <c r="K58" s="272">
        <v>43437</v>
      </c>
      <c r="L58" s="376">
        <v>1493</v>
      </c>
      <c r="M58" s="265" t="s">
        <v>1140</v>
      </c>
    </row>
    <row r="59" spans="1:13" ht="69" customHeight="1" x14ac:dyDescent="0.4">
      <c r="A59" s="373" t="s">
        <v>840</v>
      </c>
      <c r="B59" s="273" t="s">
        <v>1148</v>
      </c>
      <c r="C59" s="273" t="s">
        <v>1152</v>
      </c>
      <c r="D59" s="572" t="s">
        <v>1230</v>
      </c>
      <c r="E59" s="369" t="s">
        <v>183</v>
      </c>
      <c r="F59" s="236" t="s">
        <v>1231</v>
      </c>
      <c r="G59" s="260" t="s">
        <v>1155</v>
      </c>
      <c r="H59" s="527" t="s">
        <v>1232</v>
      </c>
      <c r="I59" s="567" t="s">
        <v>1206</v>
      </c>
      <c r="J59" s="374" t="str">
        <f t="shared" si="0"/>
        <v>FY2018</v>
      </c>
      <c r="K59" s="253">
        <v>43437</v>
      </c>
      <c r="L59" s="376">
        <v>1497</v>
      </c>
      <c r="M59" s="265" t="s">
        <v>1140</v>
      </c>
    </row>
    <row r="60" spans="1:13" ht="69" customHeight="1" x14ac:dyDescent="0.4">
      <c r="A60" s="373" t="s">
        <v>840</v>
      </c>
      <c r="B60" s="273" t="s">
        <v>1128</v>
      </c>
      <c r="C60" s="273" t="s">
        <v>1129</v>
      </c>
      <c r="D60" s="572" t="s">
        <v>1233</v>
      </c>
      <c r="E60" s="369" t="s">
        <v>478</v>
      </c>
      <c r="F60" s="236" t="s">
        <v>1234</v>
      </c>
      <c r="G60" s="260" t="s">
        <v>1151</v>
      </c>
      <c r="H60" s="263" t="s">
        <v>1235</v>
      </c>
      <c r="I60" s="567" t="s">
        <v>1206</v>
      </c>
      <c r="J60" s="374" t="str">
        <f t="shared" si="0"/>
        <v>FY2018</v>
      </c>
      <c r="K60" s="253">
        <v>43437</v>
      </c>
      <c r="L60" s="376">
        <v>3508</v>
      </c>
      <c r="M60" s="265" t="s">
        <v>1140</v>
      </c>
    </row>
    <row r="61" spans="1:13" ht="69" customHeight="1" x14ac:dyDescent="0.4">
      <c r="A61" s="377" t="s">
        <v>1109</v>
      </c>
      <c r="B61" s="273" t="s">
        <v>2298</v>
      </c>
      <c r="C61" s="273" t="s">
        <v>1152</v>
      </c>
      <c r="D61" s="570" t="s">
        <v>1236</v>
      </c>
      <c r="E61" s="263" t="s">
        <v>1237</v>
      </c>
      <c r="F61" s="269" t="s">
        <v>2292</v>
      </c>
      <c r="G61" s="260" t="s">
        <v>1132</v>
      </c>
      <c r="H61" s="263" t="s">
        <v>1152</v>
      </c>
      <c r="I61" s="567" t="s">
        <v>1206</v>
      </c>
      <c r="J61" s="374" t="str">
        <f t="shared" si="0"/>
        <v>FY2018</v>
      </c>
      <c r="K61" s="253">
        <v>43406</v>
      </c>
      <c r="L61" s="528">
        <v>6423</v>
      </c>
      <c r="M61" s="240" t="s">
        <v>894</v>
      </c>
    </row>
    <row r="62" spans="1:13" ht="69" customHeight="1" x14ac:dyDescent="0.4">
      <c r="A62" s="377" t="s">
        <v>1109</v>
      </c>
      <c r="B62" s="273" t="s">
        <v>2299</v>
      </c>
      <c r="C62" s="273" t="s">
        <v>1152</v>
      </c>
      <c r="D62" s="570" t="s">
        <v>1238</v>
      </c>
      <c r="E62" s="509" t="s">
        <v>145</v>
      </c>
      <c r="F62" s="269" t="s">
        <v>2293</v>
      </c>
      <c r="G62" s="260" t="s">
        <v>147</v>
      </c>
      <c r="H62" s="263" t="s">
        <v>514</v>
      </c>
      <c r="I62" s="567" t="s">
        <v>1206</v>
      </c>
      <c r="J62" s="374" t="str">
        <f t="shared" si="0"/>
        <v>FY2018</v>
      </c>
      <c r="K62" s="253">
        <v>43312</v>
      </c>
      <c r="L62" s="528">
        <v>23053</v>
      </c>
      <c r="M62" s="240" t="s">
        <v>1239</v>
      </c>
    </row>
    <row r="63" spans="1:13" ht="69" customHeight="1" x14ac:dyDescent="0.4">
      <c r="A63" s="373" t="s">
        <v>840</v>
      </c>
      <c r="B63" s="273" t="s">
        <v>1148</v>
      </c>
      <c r="C63" s="273" t="s">
        <v>1129</v>
      </c>
      <c r="D63" s="570" t="s">
        <v>1240</v>
      </c>
      <c r="E63" s="369" t="s">
        <v>771</v>
      </c>
      <c r="F63" s="236" t="s">
        <v>1172</v>
      </c>
      <c r="G63" s="260" t="s">
        <v>1155</v>
      </c>
      <c r="H63" s="263" t="s">
        <v>1226</v>
      </c>
      <c r="I63" s="567" t="s">
        <v>1206</v>
      </c>
      <c r="J63" s="374" t="str">
        <f t="shared" si="0"/>
        <v>FY2018</v>
      </c>
      <c r="K63" s="253">
        <v>43276</v>
      </c>
      <c r="L63" s="380">
        <v>488</v>
      </c>
      <c r="M63" s="265" t="s">
        <v>1134</v>
      </c>
    </row>
    <row r="64" spans="1:13" ht="69" customHeight="1" x14ac:dyDescent="0.4">
      <c r="A64" s="373" t="s">
        <v>840</v>
      </c>
      <c r="B64" s="273" t="s">
        <v>1148</v>
      </c>
      <c r="C64" s="273" t="s">
        <v>1152</v>
      </c>
      <c r="D64" s="570" t="s">
        <v>1241</v>
      </c>
      <c r="E64" s="369" t="s">
        <v>771</v>
      </c>
      <c r="F64" s="236" t="s">
        <v>1204</v>
      </c>
      <c r="G64" s="260" t="s">
        <v>1155</v>
      </c>
      <c r="H64" s="263" t="s">
        <v>185</v>
      </c>
      <c r="I64" s="567" t="s">
        <v>1206</v>
      </c>
      <c r="J64" s="374" t="str">
        <f t="shared" si="0"/>
        <v>FY2018</v>
      </c>
      <c r="K64" s="253">
        <v>43276</v>
      </c>
      <c r="L64" s="380">
        <v>2858</v>
      </c>
      <c r="M64" s="265" t="s">
        <v>1134</v>
      </c>
    </row>
    <row r="65" spans="1:13" ht="69" customHeight="1" x14ac:dyDescent="0.4">
      <c r="A65" s="373" t="s">
        <v>840</v>
      </c>
      <c r="B65" s="273" t="s">
        <v>1136</v>
      </c>
      <c r="C65" s="273" t="s">
        <v>1142</v>
      </c>
      <c r="D65" s="570" t="s">
        <v>1242</v>
      </c>
      <c r="E65" s="369" t="s">
        <v>771</v>
      </c>
      <c r="F65" s="236" t="s">
        <v>1172</v>
      </c>
      <c r="G65" s="260" t="s">
        <v>1151</v>
      </c>
      <c r="H65" s="263" t="s">
        <v>1243</v>
      </c>
      <c r="I65" s="567" t="s">
        <v>1206</v>
      </c>
      <c r="J65" s="374" t="str">
        <f t="shared" si="0"/>
        <v>FY2018</v>
      </c>
      <c r="K65" s="253">
        <v>43276</v>
      </c>
      <c r="L65" s="380">
        <v>10577</v>
      </c>
      <c r="M65" s="265" t="s">
        <v>1134</v>
      </c>
    </row>
    <row r="66" spans="1:13" ht="69" customHeight="1" x14ac:dyDescent="0.4">
      <c r="A66" s="373" t="s">
        <v>840</v>
      </c>
      <c r="B66" s="273" t="s">
        <v>1200</v>
      </c>
      <c r="C66" s="273" t="s">
        <v>1152</v>
      </c>
      <c r="D66" s="570" t="s">
        <v>1244</v>
      </c>
      <c r="E66" s="369" t="s">
        <v>560</v>
      </c>
      <c r="F66" s="236" t="s">
        <v>1245</v>
      </c>
      <c r="G66" s="260" t="s">
        <v>1155</v>
      </c>
      <c r="H66" s="263" t="s">
        <v>185</v>
      </c>
      <c r="I66" s="567" t="s">
        <v>1206</v>
      </c>
      <c r="J66" s="374" t="str">
        <f t="shared" si="0"/>
        <v>FY2018</v>
      </c>
      <c r="K66" s="253">
        <v>43276</v>
      </c>
      <c r="L66" s="380">
        <v>1617</v>
      </c>
      <c r="M66" s="265" t="s">
        <v>1134</v>
      </c>
    </row>
    <row r="67" spans="1:13" ht="69" customHeight="1" x14ac:dyDescent="0.4">
      <c r="A67" s="373" t="s">
        <v>840</v>
      </c>
      <c r="B67" s="273" t="s">
        <v>1136</v>
      </c>
      <c r="C67" s="273" t="s">
        <v>1129</v>
      </c>
      <c r="D67" s="570" t="s">
        <v>1246</v>
      </c>
      <c r="E67" s="369" t="s">
        <v>560</v>
      </c>
      <c r="F67" s="236" t="s">
        <v>1214</v>
      </c>
      <c r="G67" s="260" t="s">
        <v>1155</v>
      </c>
      <c r="H67" s="263" t="s">
        <v>185</v>
      </c>
      <c r="I67" s="567" t="s">
        <v>1206</v>
      </c>
      <c r="J67" s="374" t="str">
        <f t="shared" si="0"/>
        <v>FY2018</v>
      </c>
      <c r="K67" s="253">
        <v>43276</v>
      </c>
      <c r="L67" s="380">
        <v>10620</v>
      </c>
      <c r="M67" s="265" t="s">
        <v>1140</v>
      </c>
    </row>
    <row r="68" spans="1:13" ht="69" customHeight="1" x14ac:dyDescent="0.4">
      <c r="A68" s="373" t="s">
        <v>840</v>
      </c>
      <c r="B68" s="273" t="s">
        <v>1136</v>
      </c>
      <c r="C68" s="273" t="s">
        <v>1219</v>
      </c>
      <c r="D68" s="570" t="s">
        <v>1247</v>
      </c>
      <c r="E68" s="369" t="s">
        <v>560</v>
      </c>
      <c r="F68" s="236" t="s">
        <v>1248</v>
      </c>
      <c r="G68" s="260" t="s">
        <v>1249</v>
      </c>
      <c r="H68" s="263" t="s">
        <v>1250</v>
      </c>
      <c r="I68" s="567" t="s">
        <v>1206</v>
      </c>
      <c r="J68" s="374" t="str">
        <f t="shared" si="0"/>
        <v>FY2018</v>
      </c>
      <c r="K68" s="253">
        <v>43276</v>
      </c>
      <c r="L68" s="380">
        <v>17851</v>
      </c>
      <c r="M68" s="265" t="s">
        <v>1134</v>
      </c>
    </row>
    <row r="69" spans="1:13" ht="69" customHeight="1" x14ac:dyDescent="0.4">
      <c r="A69" s="373" t="s">
        <v>840</v>
      </c>
      <c r="B69" s="273" t="s">
        <v>1148</v>
      </c>
      <c r="C69" s="273" t="s">
        <v>1152</v>
      </c>
      <c r="D69" s="570" t="s">
        <v>1251</v>
      </c>
      <c r="E69" s="369" t="s">
        <v>478</v>
      </c>
      <c r="F69" s="236" t="s">
        <v>1169</v>
      </c>
      <c r="G69" s="260" t="s">
        <v>1211</v>
      </c>
      <c r="H69" s="263" t="s">
        <v>237</v>
      </c>
      <c r="I69" s="567" t="s">
        <v>1206</v>
      </c>
      <c r="J69" s="374" t="str">
        <f t="shared" si="0"/>
        <v>FY2018</v>
      </c>
      <c r="K69" s="253">
        <v>43276</v>
      </c>
      <c r="L69" s="380">
        <v>19241</v>
      </c>
      <c r="M69" s="265" t="s">
        <v>1134</v>
      </c>
    </row>
    <row r="70" spans="1:13" ht="69" customHeight="1" x14ac:dyDescent="0.4">
      <c r="A70" s="373" t="s">
        <v>840</v>
      </c>
      <c r="B70" s="273" t="s">
        <v>1136</v>
      </c>
      <c r="C70" s="273" t="s">
        <v>1129</v>
      </c>
      <c r="D70" s="570" t="s">
        <v>1252</v>
      </c>
      <c r="E70" s="509" t="s">
        <v>542</v>
      </c>
      <c r="F70" s="269" t="s">
        <v>1204</v>
      </c>
      <c r="G70" s="260" t="s">
        <v>1155</v>
      </c>
      <c r="H70" s="263" t="s">
        <v>1253</v>
      </c>
      <c r="I70" s="567" t="s">
        <v>1206</v>
      </c>
      <c r="J70" s="374" t="str">
        <f t="shared" si="0"/>
        <v>FY2018</v>
      </c>
      <c r="K70" s="272">
        <v>43276</v>
      </c>
      <c r="L70" s="384">
        <v>36416</v>
      </c>
      <c r="M70" s="240" t="s">
        <v>1134</v>
      </c>
    </row>
    <row r="71" spans="1:13" ht="69" customHeight="1" x14ac:dyDescent="0.4">
      <c r="A71" s="373" t="s">
        <v>840</v>
      </c>
      <c r="B71" s="273" t="s">
        <v>1254</v>
      </c>
      <c r="C71" s="273" t="s">
        <v>1219</v>
      </c>
      <c r="D71" s="573" t="s">
        <v>1255</v>
      </c>
      <c r="E71" s="509" t="s">
        <v>444</v>
      </c>
      <c r="F71" s="269" t="s">
        <v>1150</v>
      </c>
      <c r="G71" s="263" t="s">
        <v>1155</v>
      </c>
      <c r="H71" s="263" t="s">
        <v>1256</v>
      </c>
      <c r="I71" s="567" t="s">
        <v>1206</v>
      </c>
      <c r="J71" s="374" t="str">
        <f t="shared" si="0"/>
        <v>FY2018</v>
      </c>
      <c r="K71" s="272">
        <v>43276</v>
      </c>
      <c r="L71" s="384">
        <v>831</v>
      </c>
      <c r="M71" s="240" t="s">
        <v>1198</v>
      </c>
    </row>
    <row r="72" spans="1:13" ht="69" customHeight="1" x14ac:dyDescent="0.4">
      <c r="A72" s="373" t="s">
        <v>840</v>
      </c>
      <c r="B72" s="273" t="s">
        <v>1128</v>
      </c>
      <c r="C72" s="273" t="s">
        <v>1129</v>
      </c>
      <c r="D72" s="570" t="s">
        <v>1257</v>
      </c>
      <c r="E72" s="369" t="s">
        <v>548</v>
      </c>
      <c r="F72" s="236" t="s">
        <v>1204</v>
      </c>
      <c r="G72" s="260" t="s">
        <v>1155</v>
      </c>
      <c r="H72" s="263" t="s">
        <v>185</v>
      </c>
      <c r="I72" s="567" t="s">
        <v>1206</v>
      </c>
      <c r="J72" s="374" t="str">
        <f t="shared" si="0"/>
        <v>FY2018</v>
      </c>
      <c r="K72" s="253">
        <v>43276</v>
      </c>
      <c r="L72" s="380">
        <v>296</v>
      </c>
      <c r="M72" s="265" t="s">
        <v>1258</v>
      </c>
    </row>
    <row r="73" spans="1:13" ht="69" customHeight="1" x14ac:dyDescent="0.4">
      <c r="A73" s="373" t="s">
        <v>840</v>
      </c>
      <c r="B73" s="273" t="s">
        <v>1259</v>
      </c>
      <c r="C73" s="273" t="s">
        <v>1129</v>
      </c>
      <c r="D73" s="574" t="s">
        <v>1260</v>
      </c>
      <c r="E73" s="509" t="s">
        <v>233</v>
      </c>
      <c r="F73" s="269" t="s">
        <v>1261</v>
      </c>
      <c r="G73" s="263" t="s">
        <v>147</v>
      </c>
      <c r="H73" s="263"/>
      <c r="I73" s="567" t="s">
        <v>1206</v>
      </c>
      <c r="J73" s="374" t="str">
        <f t="shared" si="0"/>
        <v>FY2018</v>
      </c>
      <c r="K73" s="272">
        <v>43276</v>
      </c>
      <c r="L73" s="384">
        <v>1501</v>
      </c>
      <c r="M73" s="240" t="s">
        <v>841</v>
      </c>
    </row>
    <row r="74" spans="1:13" ht="69" customHeight="1" x14ac:dyDescent="0.4">
      <c r="A74" s="373" t="s">
        <v>840</v>
      </c>
      <c r="B74" s="273" t="s">
        <v>1262</v>
      </c>
      <c r="C74" s="273" t="s">
        <v>1152</v>
      </c>
      <c r="D74" s="570" t="s">
        <v>1263</v>
      </c>
      <c r="E74" s="369" t="s">
        <v>233</v>
      </c>
      <c r="F74" s="236" t="s">
        <v>1264</v>
      </c>
      <c r="G74" s="260" t="s">
        <v>1265</v>
      </c>
      <c r="H74" s="263" t="s">
        <v>1266</v>
      </c>
      <c r="I74" s="567" t="s">
        <v>1206</v>
      </c>
      <c r="J74" s="374" t="str">
        <f t="shared" si="0"/>
        <v>FY2018</v>
      </c>
      <c r="K74" s="253">
        <v>43276</v>
      </c>
      <c r="L74" s="380">
        <v>2667</v>
      </c>
      <c r="M74" s="265" t="s">
        <v>1140</v>
      </c>
    </row>
    <row r="75" spans="1:13" ht="69" customHeight="1" x14ac:dyDescent="0.4">
      <c r="A75" s="373" t="s">
        <v>840</v>
      </c>
      <c r="B75" s="273" t="s">
        <v>1267</v>
      </c>
      <c r="C75" s="273" t="s">
        <v>1129</v>
      </c>
      <c r="D75" s="570" t="s">
        <v>1268</v>
      </c>
      <c r="E75" s="369" t="s">
        <v>233</v>
      </c>
      <c r="F75" s="236" t="s">
        <v>1269</v>
      </c>
      <c r="G75" s="260" t="s">
        <v>147</v>
      </c>
      <c r="H75" s="263" t="s">
        <v>1270</v>
      </c>
      <c r="I75" s="567" t="s">
        <v>1206</v>
      </c>
      <c r="J75" s="374" t="str">
        <f t="shared" si="0"/>
        <v>FY2018</v>
      </c>
      <c r="K75" s="253">
        <v>43276</v>
      </c>
      <c r="L75" s="380">
        <v>1949</v>
      </c>
      <c r="M75" s="265" t="s">
        <v>1134</v>
      </c>
    </row>
    <row r="76" spans="1:13" ht="69" customHeight="1" x14ac:dyDescent="0.4">
      <c r="A76" s="373" t="s">
        <v>840</v>
      </c>
      <c r="B76" s="273" t="s">
        <v>1259</v>
      </c>
      <c r="C76" s="273" t="s">
        <v>1142</v>
      </c>
      <c r="D76" s="574" t="s">
        <v>1271</v>
      </c>
      <c r="E76" s="509" t="s">
        <v>233</v>
      </c>
      <c r="F76" s="269" t="s">
        <v>1272</v>
      </c>
      <c r="G76" s="263" t="s">
        <v>1132</v>
      </c>
      <c r="H76" s="263"/>
      <c r="I76" s="567" t="s">
        <v>1206</v>
      </c>
      <c r="J76" s="374" t="str">
        <f t="shared" si="0"/>
        <v>FY2018</v>
      </c>
      <c r="K76" s="272">
        <v>43276</v>
      </c>
      <c r="L76" s="384">
        <v>2446</v>
      </c>
      <c r="M76" s="240" t="s">
        <v>841</v>
      </c>
    </row>
    <row r="77" spans="1:13" ht="69" customHeight="1" x14ac:dyDescent="0.4">
      <c r="A77" s="373" t="s">
        <v>840</v>
      </c>
      <c r="B77" s="273" t="s">
        <v>1136</v>
      </c>
      <c r="C77" s="273" t="s">
        <v>1129</v>
      </c>
      <c r="D77" s="570" t="s">
        <v>1273</v>
      </c>
      <c r="E77" s="509" t="s">
        <v>1195</v>
      </c>
      <c r="F77" s="269" t="s">
        <v>745</v>
      </c>
      <c r="G77" s="263" t="s">
        <v>147</v>
      </c>
      <c r="H77" s="263" t="s">
        <v>1274</v>
      </c>
      <c r="I77" s="567" t="s">
        <v>1206</v>
      </c>
      <c r="J77" s="374" t="str">
        <f t="shared" si="0"/>
        <v>FY2018</v>
      </c>
      <c r="K77" s="272">
        <v>43276</v>
      </c>
      <c r="L77" s="384">
        <v>1043</v>
      </c>
      <c r="M77" s="240" t="s">
        <v>1159</v>
      </c>
    </row>
    <row r="78" spans="1:13" ht="69" customHeight="1" x14ac:dyDescent="0.4">
      <c r="A78" s="373" t="s">
        <v>840</v>
      </c>
      <c r="B78" s="273" t="s">
        <v>1275</v>
      </c>
      <c r="C78" s="273" t="s">
        <v>1129</v>
      </c>
      <c r="D78" s="570" t="s">
        <v>1276</v>
      </c>
      <c r="E78" s="509" t="s">
        <v>1176</v>
      </c>
      <c r="F78" s="236" t="s">
        <v>1277</v>
      </c>
      <c r="G78" s="260" t="s">
        <v>1278</v>
      </c>
      <c r="H78" s="263" t="s">
        <v>1279</v>
      </c>
      <c r="I78" s="567" t="s">
        <v>1206</v>
      </c>
      <c r="J78" s="374" t="str">
        <f t="shared" si="0"/>
        <v>FY2018</v>
      </c>
      <c r="K78" s="253">
        <v>43276</v>
      </c>
      <c r="L78" s="380">
        <v>10061</v>
      </c>
      <c r="M78" s="265" t="s">
        <v>1134</v>
      </c>
    </row>
    <row r="79" spans="1:13" ht="69" customHeight="1" x14ac:dyDescent="0.4">
      <c r="A79" s="373" t="s">
        <v>840</v>
      </c>
      <c r="B79" s="273" t="s">
        <v>1128</v>
      </c>
      <c r="C79" s="273" t="s">
        <v>1152</v>
      </c>
      <c r="D79" s="570" t="s">
        <v>1280</v>
      </c>
      <c r="E79" s="369" t="s">
        <v>509</v>
      </c>
      <c r="F79" s="236" t="s">
        <v>1204</v>
      </c>
      <c r="G79" s="260" t="s">
        <v>1155</v>
      </c>
      <c r="H79" s="263" t="s">
        <v>185</v>
      </c>
      <c r="I79" s="567" t="s">
        <v>1206</v>
      </c>
      <c r="J79" s="374" t="str">
        <f t="shared" si="0"/>
        <v>FY2018</v>
      </c>
      <c r="K79" s="253">
        <v>43276</v>
      </c>
      <c r="L79" s="376">
        <v>27008</v>
      </c>
      <c r="M79" s="265" t="s">
        <v>1134</v>
      </c>
    </row>
    <row r="80" spans="1:13" ht="69" customHeight="1" x14ac:dyDescent="0.4">
      <c r="A80" s="373" t="s">
        <v>840</v>
      </c>
      <c r="B80" s="273" t="s">
        <v>1254</v>
      </c>
      <c r="C80" s="273" t="s">
        <v>1152</v>
      </c>
      <c r="D80" s="570" t="s">
        <v>1281</v>
      </c>
      <c r="E80" s="509" t="s">
        <v>509</v>
      </c>
      <c r="F80" s="269" t="s">
        <v>961</v>
      </c>
      <c r="G80" s="260" t="s">
        <v>1132</v>
      </c>
      <c r="H80" s="263" t="s">
        <v>185</v>
      </c>
      <c r="I80" s="567" t="s">
        <v>1282</v>
      </c>
      <c r="J80" s="374" t="str">
        <f t="shared" si="0"/>
        <v>FY2017</v>
      </c>
      <c r="K80" s="272">
        <v>43130</v>
      </c>
      <c r="L80" s="528">
        <v>22927</v>
      </c>
      <c r="M80" s="265" t="s">
        <v>1134</v>
      </c>
    </row>
    <row r="81" spans="1:13" ht="69" customHeight="1" x14ac:dyDescent="0.4">
      <c r="A81" s="373" t="s">
        <v>840</v>
      </c>
      <c r="B81" s="273" t="s">
        <v>1254</v>
      </c>
      <c r="C81" s="273" t="s">
        <v>1152</v>
      </c>
      <c r="D81" s="570" t="s">
        <v>1283</v>
      </c>
      <c r="E81" s="509" t="s">
        <v>233</v>
      </c>
      <c r="F81" s="269" t="s">
        <v>1284</v>
      </c>
      <c r="G81" s="260" t="s">
        <v>1155</v>
      </c>
      <c r="H81" s="263" t="s">
        <v>1285</v>
      </c>
      <c r="I81" s="567" t="s">
        <v>1282</v>
      </c>
      <c r="J81" s="374" t="str">
        <f t="shared" si="0"/>
        <v>FY2017</v>
      </c>
      <c r="K81" s="272">
        <v>43130</v>
      </c>
      <c r="L81" s="528">
        <v>35712</v>
      </c>
      <c r="M81" s="240" t="s">
        <v>1134</v>
      </c>
    </row>
    <row r="82" spans="1:13" ht="69" customHeight="1" x14ac:dyDescent="0.4">
      <c r="A82" s="373" t="s">
        <v>840</v>
      </c>
      <c r="B82" s="273" t="s">
        <v>1262</v>
      </c>
      <c r="C82" s="273" t="s">
        <v>1152</v>
      </c>
      <c r="D82" s="570" t="s">
        <v>1286</v>
      </c>
      <c r="E82" s="369" t="s">
        <v>771</v>
      </c>
      <c r="F82" s="236" t="s">
        <v>1287</v>
      </c>
      <c r="G82" s="260" t="s">
        <v>1155</v>
      </c>
      <c r="H82" s="263" t="s">
        <v>185</v>
      </c>
      <c r="I82" s="567" t="s">
        <v>1282</v>
      </c>
      <c r="J82" s="374" t="str">
        <f t="shared" si="0"/>
        <v>FY2017</v>
      </c>
      <c r="K82" s="253">
        <v>43130</v>
      </c>
      <c r="L82" s="376">
        <v>838.13</v>
      </c>
      <c r="M82" s="265" t="s">
        <v>1134</v>
      </c>
    </row>
    <row r="83" spans="1:13" ht="69" customHeight="1" x14ac:dyDescent="0.4">
      <c r="A83" s="377" t="s">
        <v>1109</v>
      </c>
      <c r="B83" s="273" t="s">
        <v>1200</v>
      </c>
      <c r="C83" s="273" t="s">
        <v>1129</v>
      </c>
      <c r="D83" s="570" t="s">
        <v>1288</v>
      </c>
      <c r="E83" s="509" t="s">
        <v>444</v>
      </c>
      <c r="F83" s="269" t="s">
        <v>1289</v>
      </c>
      <c r="G83" s="260" t="s">
        <v>1151</v>
      </c>
      <c r="H83" s="263" t="s">
        <v>1290</v>
      </c>
      <c r="I83" s="567" t="s">
        <v>1282</v>
      </c>
      <c r="J83" s="374" t="str">
        <f t="shared" si="0"/>
        <v>FY2017</v>
      </c>
      <c r="K83" s="253">
        <v>43087</v>
      </c>
      <c r="L83" s="528">
        <v>6371</v>
      </c>
      <c r="M83" s="240" t="s">
        <v>894</v>
      </c>
    </row>
    <row r="84" spans="1:13" ht="69" customHeight="1" x14ac:dyDescent="0.4">
      <c r="A84" s="373" t="s">
        <v>840</v>
      </c>
      <c r="B84" s="273" t="s">
        <v>1148</v>
      </c>
      <c r="C84" s="273" t="s">
        <v>1142</v>
      </c>
      <c r="D84" s="570" t="s">
        <v>1291</v>
      </c>
      <c r="E84" s="369" t="s">
        <v>233</v>
      </c>
      <c r="F84" s="236" t="s">
        <v>1292</v>
      </c>
      <c r="G84" s="260" t="s">
        <v>1293</v>
      </c>
      <c r="H84" s="263" t="s">
        <v>1294</v>
      </c>
      <c r="I84" s="567" t="s">
        <v>1282</v>
      </c>
      <c r="J84" s="374" t="str">
        <f t="shared" si="0"/>
        <v>FY2017</v>
      </c>
      <c r="K84" s="253">
        <v>43076</v>
      </c>
      <c r="L84" s="380">
        <v>4629</v>
      </c>
      <c r="M84" s="265" t="s">
        <v>1140</v>
      </c>
    </row>
    <row r="85" spans="1:13" ht="69" customHeight="1" x14ac:dyDescent="0.4">
      <c r="A85" s="373" t="s">
        <v>840</v>
      </c>
      <c r="B85" s="273" t="s">
        <v>2399</v>
      </c>
      <c r="C85" s="382" t="s">
        <v>2411</v>
      </c>
      <c r="D85" s="570" t="s">
        <v>1295</v>
      </c>
      <c r="E85" s="369" t="s">
        <v>233</v>
      </c>
      <c r="F85" s="236" t="s">
        <v>1214</v>
      </c>
      <c r="G85" s="260" t="s">
        <v>147</v>
      </c>
      <c r="H85" s="263" t="s">
        <v>195</v>
      </c>
      <c r="I85" s="567" t="s">
        <v>1282</v>
      </c>
      <c r="J85" s="374" t="str">
        <f t="shared" si="0"/>
        <v>FY2017</v>
      </c>
      <c r="K85" s="253">
        <v>43076</v>
      </c>
      <c r="L85" s="376">
        <v>712</v>
      </c>
      <c r="M85" s="265" t="s">
        <v>1258</v>
      </c>
    </row>
    <row r="86" spans="1:13" ht="69" customHeight="1" x14ac:dyDescent="0.4">
      <c r="A86" s="373" t="s">
        <v>840</v>
      </c>
      <c r="B86" s="273" t="s">
        <v>1275</v>
      </c>
      <c r="C86" s="273" t="s">
        <v>1219</v>
      </c>
      <c r="D86" s="570" t="s">
        <v>1296</v>
      </c>
      <c r="E86" s="509" t="s">
        <v>1297</v>
      </c>
      <c r="F86" s="236" t="s">
        <v>1298</v>
      </c>
      <c r="G86" s="260" t="s">
        <v>147</v>
      </c>
      <c r="H86" s="263" t="s">
        <v>1299</v>
      </c>
      <c r="I86" s="567" t="s">
        <v>1282</v>
      </c>
      <c r="J86" s="374" t="str">
        <f t="shared" si="0"/>
        <v>FY2017</v>
      </c>
      <c r="K86" s="253">
        <v>42912</v>
      </c>
      <c r="L86" s="376">
        <v>1469</v>
      </c>
      <c r="M86" s="265" t="s">
        <v>894</v>
      </c>
    </row>
    <row r="87" spans="1:13" ht="69" customHeight="1" x14ac:dyDescent="0.4">
      <c r="A87" s="373" t="s">
        <v>840</v>
      </c>
      <c r="B87" s="273" t="s">
        <v>1267</v>
      </c>
      <c r="C87" s="273" t="s">
        <v>1129</v>
      </c>
      <c r="D87" s="570" t="s">
        <v>1300</v>
      </c>
      <c r="E87" s="509" t="s">
        <v>1301</v>
      </c>
      <c r="F87" s="236" t="s">
        <v>1302</v>
      </c>
      <c r="G87" s="260" t="s">
        <v>147</v>
      </c>
      <c r="H87" s="263" t="s">
        <v>195</v>
      </c>
      <c r="I87" s="567" t="s">
        <v>1282</v>
      </c>
      <c r="J87" s="374" t="str">
        <f t="shared" si="0"/>
        <v>FY2017</v>
      </c>
      <c r="K87" s="253">
        <v>42912</v>
      </c>
      <c r="L87" s="376">
        <v>289</v>
      </c>
      <c r="M87" s="265" t="s">
        <v>894</v>
      </c>
    </row>
    <row r="88" spans="1:13" ht="69" customHeight="1" x14ac:dyDescent="0.4">
      <c r="A88" s="373" t="s">
        <v>840</v>
      </c>
      <c r="B88" s="273" t="s">
        <v>1267</v>
      </c>
      <c r="C88" s="273" t="s">
        <v>1303</v>
      </c>
      <c r="D88" s="570" t="s">
        <v>1304</v>
      </c>
      <c r="E88" s="509" t="s">
        <v>1176</v>
      </c>
      <c r="F88" s="236" t="s">
        <v>1305</v>
      </c>
      <c r="G88" s="260" t="s">
        <v>147</v>
      </c>
      <c r="H88" s="263" t="s">
        <v>1306</v>
      </c>
      <c r="I88" s="567" t="s">
        <v>1282</v>
      </c>
      <c r="J88" s="374" t="str">
        <f t="shared" si="0"/>
        <v>FY2017</v>
      </c>
      <c r="K88" s="253">
        <v>42912</v>
      </c>
      <c r="L88" s="376">
        <v>111</v>
      </c>
      <c r="M88" s="265" t="s">
        <v>894</v>
      </c>
    </row>
    <row r="89" spans="1:13" ht="69" customHeight="1" x14ac:dyDescent="0.4">
      <c r="A89" s="373" t="s">
        <v>840</v>
      </c>
      <c r="B89" s="273" t="s">
        <v>1307</v>
      </c>
      <c r="C89" s="273" t="s">
        <v>1303</v>
      </c>
      <c r="D89" s="560" t="s">
        <v>1308</v>
      </c>
      <c r="E89" s="509" t="s">
        <v>233</v>
      </c>
      <c r="F89" s="269" t="s">
        <v>1309</v>
      </c>
      <c r="G89" s="260" t="s">
        <v>1310</v>
      </c>
      <c r="H89" s="263" t="s">
        <v>407</v>
      </c>
      <c r="I89" s="567" t="s">
        <v>1311</v>
      </c>
      <c r="J89" s="374" t="str">
        <f t="shared" si="0"/>
        <v>FY2017</v>
      </c>
      <c r="K89" s="272">
        <v>42912</v>
      </c>
      <c r="L89" s="528">
        <v>7339</v>
      </c>
      <c r="M89" s="240" t="s">
        <v>1312</v>
      </c>
    </row>
    <row r="90" spans="1:13" ht="69" customHeight="1" x14ac:dyDescent="0.4">
      <c r="A90" s="373" t="s">
        <v>840</v>
      </c>
      <c r="B90" s="273" t="s">
        <v>1313</v>
      </c>
      <c r="C90" s="273" t="s">
        <v>1303</v>
      </c>
      <c r="D90" s="573" t="s">
        <v>1314</v>
      </c>
      <c r="E90" s="509" t="s">
        <v>233</v>
      </c>
      <c r="F90" s="269" t="s">
        <v>1315</v>
      </c>
      <c r="G90" s="263" t="s">
        <v>147</v>
      </c>
      <c r="H90" s="263"/>
      <c r="I90" s="567" t="s">
        <v>1282</v>
      </c>
      <c r="J90" s="374" t="str">
        <f t="shared" ref="J90:J153" si="1">RIGHT(I90, 6)</f>
        <v>FY2017</v>
      </c>
      <c r="K90" s="272">
        <v>42912</v>
      </c>
      <c r="L90" s="528">
        <v>615</v>
      </c>
      <c r="M90" s="240" t="s">
        <v>894</v>
      </c>
    </row>
    <row r="91" spans="1:13" ht="69" customHeight="1" x14ac:dyDescent="0.4">
      <c r="A91" s="373" t="s">
        <v>840</v>
      </c>
      <c r="B91" s="273" t="s">
        <v>1316</v>
      </c>
      <c r="C91" s="273" t="s">
        <v>1317</v>
      </c>
      <c r="D91" s="575" t="s">
        <v>1318</v>
      </c>
      <c r="E91" s="509" t="s">
        <v>183</v>
      </c>
      <c r="F91" s="269" t="s">
        <v>1319</v>
      </c>
      <c r="G91" s="263" t="s">
        <v>1320</v>
      </c>
      <c r="H91" s="263"/>
      <c r="I91" s="567" t="s">
        <v>1282</v>
      </c>
      <c r="J91" s="374" t="str">
        <f t="shared" si="1"/>
        <v>FY2017</v>
      </c>
      <c r="K91" s="272">
        <v>42912</v>
      </c>
      <c r="L91" s="528">
        <v>2658</v>
      </c>
      <c r="M91" s="240" t="s">
        <v>841</v>
      </c>
    </row>
    <row r="92" spans="1:13" ht="69" customHeight="1" x14ac:dyDescent="0.4">
      <c r="A92" s="373" t="s">
        <v>840</v>
      </c>
      <c r="B92" s="273" t="s">
        <v>1321</v>
      </c>
      <c r="C92" s="273" t="s">
        <v>1317</v>
      </c>
      <c r="D92" s="570" t="s">
        <v>1322</v>
      </c>
      <c r="E92" s="369" t="s">
        <v>560</v>
      </c>
      <c r="F92" s="236" t="s">
        <v>1323</v>
      </c>
      <c r="G92" s="260" t="s">
        <v>1324</v>
      </c>
      <c r="H92" s="263" t="s">
        <v>407</v>
      </c>
      <c r="I92" s="567" t="s">
        <v>1282</v>
      </c>
      <c r="J92" s="374" t="str">
        <f t="shared" si="1"/>
        <v>FY2017</v>
      </c>
      <c r="K92" s="253">
        <v>42912</v>
      </c>
      <c r="L92" s="376">
        <v>7111</v>
      </c>
      <c r="M92" s="265" t="s">
        <v>894</v>
      </c>
    </row>
    <row r="93" spans="1:13" ht="69" customHeight="1" x14ac:dyDescent="0.4">
      <c r="A93" s="373" t="s">
        <v>840</v>
      </c>
      <c r="B93" s="273" t="s">
        <v>1254</v>
      </c>
      <c r="C93" s="273" t="s">
        <v>1303</v>
      </c>
      <c r="D93" s="570" t="s">
        <v>1325</v>
      </c>
      <c r="E93" s="369" t="s">
        <v>560</v>
      </c>
      <c r="F93" s="236" t="s">
        <v>1326</v>
      </c>
      <c r="G93" s="260" t="s">
        <v>1293</v>
      </c>
      <c r="H93" s="254" t="s">
        <v>1327</v>
      </c>
      <c r="I93" s="567" t="s">
        <v>1282</v>
      </c>
      <c r="J93" s="374" t="str">
        <f t="shared" si="1"/>
        <v>FY2017</v>
      </c>
      <c r="K93" s="253">
        <v>42912</v>
      </c>
      <c r="L93" s="376">
        <v>5491</v>
      </c>
      <c r="M93" s="265" t="s">
        <v>1140</v>
      </c>
    </row>
    <row r="94" spans="1:13" ht="69" customHeight="1" x14ac:dyDescent="0.4">
      <c r="A94" s="373" t="s">
        <v>840</v>
      </c>
      <c r="B94" s="273" t="s">
        <v>1316</v>
      </c>
      <c r="C94" s="273" t="s">
        <v>1142</v>
      </c>
      <c r="D94" s="575" t="s">
        <v>1328</v>
      </c>
      <c r="E94" s="509" t="s">
        <v>233</v>
      </c>
      <c r="F94" s="269" t="s">
        <v>1329</v>
      </c>
      <c r="G94" s="263" t="s">
        <v>1320</v>
      </c>
      <c r="H94" s="263"/>
      <c r="I94" s="567" t="s">
        <v>1282</v>
      </c>
      <c r="J94" s="374" t="str">
        <f t="shared" si="1"/>
        <v>FY2017</v>
      </c>
      <c r="K94" s="272">
        <v>42912</v>
      </c>
      <c r="L94" s="528">
        <v>1246</v>
      </c>
      <c r="M94" s="240" t="s">
        <v>841</v>
      </c>
    </row>
    <row r="95" spans="1:13" ht="69" customHeight="1" x14ac:dyDescent="0.4">
      <c r="A95" s="373" t="s">
        <v>840</v>
      </c>
      <c r="B95" s="273" t="s">
        <v>1321</v>
      </c>
      <c r="C95" s="273" t="s">
        <v>1129</v>
      </c>
      <c r="D95" s="570" t="s">
        <v>1330</v>
      </c>
      <c r="E95" s="369" t="s">
        <v>458</v>
      </c>
      <c r="F95" s="236" t="s">
        <v>1331</v>
      </c>
      <c r="G95" s="260" t="s">
        <v>1320</v>
      </c>
      <c r="H95" s="263" t="s">
        <v>185</v>
      </c>
      <c r="I95" s="567" t="s">
        <v>1282</v>
      </c>
      <c r="J95" s="374" t="str">
        <f t="shared" si="1"/>
        <v>FY2017</v>
      </c>
      <c r="K95" s="253">
        <v>42912</v>
      </c>
      <c r="L95" s="376">
        <v>11425</v>
      </c>
      <c r="M95" s="265" t="s">
        <v>894</v>
      </c>
    </row>
    <row r="96" spans="1:13" ht="69" customHeight="1" x14ac:dyDescent="0.4">
      <c r="A96" s="373" t="s">
        <v>840</v>
      </c>
      <c r="B96" s="273" t="s">
        <v>1332</v>
      </c>
      <c r="C96" s="273" t="s">
        <v>1333</v>
      </c>
      <c r="D96" s="570" t="s">
        <v>1334</v>
      </c>
      <c r="E96" s="369" t="s">
        <v>458</v>
      </c>
      <c r="F96" s="236" t="s">
        <v>1335</v>
      </c>
      <c r="G96" s="260" t="s">
        <v>147</v>
      </c>
      <c r="H96" s="263" t="s">
        <v>1336</v>
      </c>
      <c r="I96" s="567" t="s">
        <v>1282</v>
      </c>
      <c r="J96" s="374" t="str">
        <f t="shared" si="1"/>
        <v>FY2017</v>
      </c>
      <c r="K96" s="253">
        <v>42912</v>
      </c>
      <c r="L96" s="380">
        <v>2099</v>
      </c>
      <c r="M96" s="265" t="s">
        <v>894</v>
      </c>
    </row>
    <row r="97" spans="1:13" ht="69" customHeight="1" x14ac:dyDescent="0.4">
      <c r="A97" s="373" t="s">
        <v>840</v>
      </c>
      <c r="B97" s="273" t="s">
        <v>1254</v>
      </c>
      <c r="C97" s="273" t="s">
        <v>1129</v>
      </c>
      <c r="D97" s="576" t="s">
        <v>2289</v>
      </c>
      <c r="E97" s="369" t="s">
        <v>542</v>
      </c>
      <c r="F97" s="236" t="s">
        <v>1337</v>
      </c>
      <c r="G97" s="260" t="s">
        <v>1320</v>
      </c>
      <c r="H97" s="263" t="s">
        <v>1338</v>
      </c>
      <c r="I97" s="567" t="s">
        <v>1282</v>
      </c>
      <c r="J97" s="374" t="str">
        <f t="shared" si="1"/>
        <v>FY2017</v>
      </c>
      <c r="K97" s="253">
        <v>42912</v>
      </c>
      <c r="L97" s="376">
        <v>66351</v>
      </c>
      <c r="M97" s="265" t="s">
        <v>2288</v>
      </c>
    </row>
    <row r="98" spans="1:13" ht="69" customHeight="1" x14ac:dyDescent="0.4">
      <c r="A98" s="373" t="s">
        <v>840</v>
      </c>
      <c r="B98" s="273" t="s">
        <v>1332</v>
      </c>
      <c r="C98" s="273" t="s">
        <v>1303</v>
      </c>
      <c r="D98" s="570" t="s">
        <v>2445</v>
      </c>
      <c r="E98" s="369" t="s">
        <v>542</v>
      </c>
      <c r="F98" s="236" t="s">
        <v>1319</v>
      </c>
      <c r="G98" s="260" t="s">
        <v>1320</v>
      </c>
      <c r="H98" s="263" t="s">
        <v>185</v>
      </c>
      <c r="I98" s="567" t="s">
        <v>1282</v>
      </c>
      <c r="J98" s="374" t="str">
        <f t="shared" si="1"/>
        <v>FY2017</v>
      </c>
      <c r="K98" s="253">
        <v>42912</v>
      </c>
      <c r="L98" s="376">
        <v>14682</v>
      </c>
      <c r="M98" s="265" t="s">
        <v>894</v>
      </c>
    </row>
    <row r="99" spans="1:13" ht="69" customHeight="1" x14ac:dyDescent="0.4">
      <c r="A99" s="373" t="s">
        <v>840</v>
      </c>
      <c r="B99" s="273" t="s">
        <v>1267</v>
      </c>
      <c r="C99" s="273" t="s">
        <v>1317</v>
      </c>
      <c r="D99" s="570" t="s">
        <v>1339</v>
      </c>
      <c r="E99" s="369" t="s">
        <v>509</v>
      </c>
      <c r="F99" s="236" t="s">
        <v>961</v>
      </c>
      <c r="G99" s="260" t="s">
        <v>1194</v>
      </c>
      <c r="H99" s="263" t="s">
        <v>185</v>
      </c>
      <c r="I99" s="567" t="s">
        <v>1282</v>
      </c>
      <c r="J99" s="374" t="str">
        <f t="shared" si="1"/>
        <v>FY2017</v>
      </c>
      <c r="K99" s="253">
        <v>42912</v>
      </c>
      <c r="L99" s="376">
        <v>18438</v>
      </c>
      <c r="M99" s="265" t="s">
        <v>894</v>
      </c>
    </row>
    <row r="100" spans="1:13" ht="69" customHeight="1" x14ac:dyDescent="0.4">
      <c r="A100" s="373" t="s">
        <v>840</v>
      </c>
      <c r="B100" s="273" t="s">
        <v>1332</v>
      </c>
      <c r="C100" s="273" t="s">
        <v>1303</v>
      </c>
      <c r="D100" s="570" t="s">
        <v>1340</v>
      </c>
      <c r="E100" s="369" t="s">
        <v>771</v>
      </c>
      <c r="F100" s="236" t="s">
        <v>1341</v>
      </c>
      <c r="G100" s="260" t="s">
        <v>1194</v>
      </c>
      <c r="H100" s="263" t="s">
        <v>1342</v>
      </c>
      <c r="I100" s="567" t="s">
        <v>1282</v>
      </c>
      <c r="J100" s="374" t="str">
        <f t="shared" si="1"/>
        <v>FY2017</v>
      </c>
      <c r="K100" s="253">
        <v>42912</v>
      </c>
      <c r="L100" s="376">
        <v>49073</v>
      </c>
      <c r="M100" s="265" t="s">
        <v>894</v>
      </c>
    </row>
    <row r="101" spans="1:13" ht="69" customHeight="1" x14ac:dyDescent="0.4">
      <c r="A101" s="373" t="s">
        <v>840</v>
      </c>
      <c r="B101" s="273" t="s">
        <v>1148</v>
      </c>
      <c r="C101" s="273" t="s">
        <v>1303</v>
      </c>
      <c r="D101" s="570" t="s">
        <v>1343</v>
      </c>
      <c r="E101" s="369" t="s">
        <v>771</v>
      </c>
      <c r="F101" s="236" t="s">
        <v>1344</v>
      </c>
      <c r="G101" s="260" t="s">
        <v>1345</v>
      </c>
      <c r="H101" s="263" t="s">
        <v>1346</v>
      </c>
      <c r="I101" s="567" t="s">
        <v>1282</v>
      </c>
      <c r="J101" s="374" t="str">
        <f t="shared" si="1"/>
        <v>FY2017</v>
      </c>
      <c r="K101" s="253">
        <v>42912</v>
      </c>
      <c r="L101" s="376">
        <v>5675</v>
      </c>
      <c r="M101" s="265" t="s">
        <v>894</v>
      </c>
    </row>
    <row r="102" spans="1:13" ht="69" customHeight="1" x14ac:dyDescent="0.4">
      <c r="A102" s="373" t="s">
        <v>840</v>
      </c>
      <c r="B102" s="273" t="s">
        <v>1347</v>
      </c>
      <c r="C102" s="273" t="s">
        <v>1303</v>
      </c>
      <c r="D102" s="570" t="s">
        <v>1348</v>
      </c>
      <c r="E102" s="369" t="s">
        <v>771</v>
      </c>
      <c r="F102" s="236" t="s">
        <v>1287</v>
      </c>
      <c r="G102" s="260" t="s">
        <v>1349</v>
      </c>
      <c r="H102" s="263" t="s">
        <v>185</v>
      </c>
      <c r="I102" s="567" t="s">
        <v>1282</v>
      </c>
      <c r="J102" s="374" t="str">
        <f t="shared" si="1"/>
        <v>FY2017</v>
      </c>
      <c r="K102" s="253">
        <v>42912</v>
      </c>
      <c r="L102" s="376">
        <v>1124</v>
      </c>
      <c r="M102" s="265" t="s">
        <v>894</v>
      </c>
    </row>
    <row r="103" spans="1:13" ht="69" customHeight="1" x14ac:dyDescent="0.4">
      <c r="A103" s="373" t="s">
        <v>840</v>
      </c>
      <c r="B103" s="273" t="s">
        <v>1350</v>
      </c>
      <c r="C103" s="273" t="s">
        <v>1303</v>
      </c>
      <c r="D103" s="570" t="s">
        <v>1351</v>
      </c>
      <c r="E103" s="369" t="s">
        <v>771</v>
      </c>
      <c r="F103" s="236" t="s">
        <v>1352</v>
      </c>
      <c r="G103" s="260" t="s">
        <v>1320</v>
      </c>
      <c r="H103" s="263" t="s">
        <v>185</v>
      </c>
      <c r="I103" s="567" t="s">
        <v>1282</v>
      </c>
      <c r="J103" s="374" t="str">
        <f t="shared" si="1"/>
        <v>FY2017</v>
      </c>
      <c r="K103" s="253">
        <v>42912</v>
      </c>
      <c r="L103" s="376">
        <v>731</v>
      </c>
      <c r="M103" s="265" t="s">
        <v>894</v>
      </c>
    </row>
    <row r="104" spans="1:13" ht="69" customHeight="1" x14ac:dyDescent="0.4">
      <c r="A104" s="379" t="s">
        <v>1353</v>
      </c>
      <c r="B104" s="273" t="s">
        <v>1267</v>
      </c>
      <c r="C104" s="273" t="s">
        <v>1142</v>
      </c>
      <c r="D104" s="564" t="s">
        <v>1354</v>
      </c>
      <c r="E104" s="509" t="s">
        <v>458</v>
      </c>
      <c r="F104" s="269" t="s">
        <v>1355</v>
      </c>
      <c r="G104" s="260" t="s">
        <v>1356</v>
      </c>
      <c r="H104" s="263" t="s">
        <v>1357</v>
      </c>
      <c r="I104" s="567" t="s">
        <v>1358</v>
      </c>
      <c r="J104" s="374" t="str">
        <f t="shared" si="1"/>
        <v>FY2015</v>
      </c>
      <c r="K104" s="239" t="s">
        <v>1359</v>
      </c>
      <c r="L104" s="384">
        <v>140000</v>
      </c>
      <c r="M104" s="240" t="s">
        <v>894</v>
      </c>
    </row>
    <row r="105" spans="1:13" ht="69" customHeight="1" x14ac:dyDescent="0.4">
      <c r="A105" s="373" t="s">
        <v>840</v>
      </c>
      <c r="B105" s="273" t="s">
        <v>1360</v>
      </c>
      <c r="C105" s="273" t="s">
        <v>1303</v>
      </c>
      <c r="D105" s="560" t="s">
        <v>1361</v>
      </c>
      <c r="E105" s="509" t="s">
        <v>145</v>
      </c>
      <c r="F105" s="269" t="s">
        <v>1362</v>
      </c>
      <c r="G105" s="263" t="s">
        <v>147</v>
      </c>
      <c r="H105" s="263"/>
      <c r="I105" s="567" t="s">
        <v>1363</v>
      </c>
      <c r="J105" s="374" t="str">
        <f t="shared" si="1"/>
        <v>FY2016</v>
      </c>
      <c r="K105" s="272">
        <v>42548</v>
      </c>
      <c r="L105" s="384">
        <v>1177</v>
      </c>
      <c r="M105" s="240" t="s">
        <v>894</v>
      </c>
    </row>
    <row r="106" spans="1:13" ht="69" customHeight="1" x14ac:dyDescent="0.4">
      <c r="A106" s="373" t="s">
        <v>840</v>
      </c>
      <c r="B106" s="273" t="s">
        <v>1267</v>
      </c>
      <c r="C106" s="273" t="s">
        <v>312</v>
      </c>
      <c r="D106" s="570" t="s">
        <v>1364</v>
      </c>
      <c r="E106" s="369" t="s">
        <v>444</v>
      </c>
      <c r="F106" s="236" t="s">
        <v>1365</v>
      </c>
      <c r="G106" s="260" t="s">
        <v>147</v>
      </c>
      <c r="H106" s="263" t="s">
        <v>1366</v>
      </c>
      <c r="I106" s="567" t="s">
        <v>1363</v>
      </c>
      <c r="J106" s="374" t="str">
        <f t="shared" si="1"/>
        <v>FY2016</v>
      </c>
      <c r="K106" s="253">
        <v>42706</v>
      </c>
      <c r="L106" s="376">
        <v>559</v>
      </c>
      <c r="M106" s="265" t="s">
        <v>894</v>
      </c>
    </row>
    <row r="107" spans="1:13" ht="69" customHeight="1" x14ac:dyDescent="0.4">
      <c r="A107" s="373" t="s">
        <v>840</v>
      </c>
      <c r="B107" s="273" t="s">
        <v>1307</v>
      </c>
      <c r="C107" s="273" t="s">
        <v>1142</v>
      </c>
      <c r="D107" s="560" t="s">
        <v>1367</v>
      </c>
      <c r="E107" s="509" t="s">
        <v>444</v>
      </c>
      <c r="F107" s="269" t="s">
        <v>1368</v>
      </c>
      <c r="G107" s="263" t="s">
        <v>1320</v>
      </c>
      <c r="H107" s="263"/>
      <c r="I107" s="567" t="s">
        <v>1363</v>
      </c>
      <c r="J107" s="374" t="str">
        <f t="shared" si="1"/>
        <v>FY2016</v>
      </c>
      <c r="K107" s="272">
        <v>42548</v>
      </c>
      <c r="L107" s="384">
        <v>772</v>
      </c>
      <c r="M107" s="240" t="s">
        <v>894</v>
      </c>
    </row>
    <row r="108" spans="1:13" ht="69" customHeight="1" x14ac:dyDescent="0.4">
      <c r="A108" s="373" t="s">
        <v>840</v>
      </c>
      <c r="B108" s="273" t="s">
        <v>1267</v>
      </c>
      <c r="C108" s="273" t="s">
        <v>1303</v>
      </c>
      <c r="D108" s="570" t="s">
        <v>1369</v>
      </c>
      <c r="E108" s="369" t="s">
        <v>444</v>
      </c>
      <c r="F108" s="236" t="s">
        <v>1370</v>
      </c>
      <c r="G108" s="260" t="s">
        <v>1320</v>
      </c>
      <c r="H108" s="263" t="s">
        <v>185</v>
      </c>
      <c r="I108" s="567" t="s">
        <v>1363</v>
      </c>
      <c r="J108" s="374" t="str">
        <f t="shared" si="1"/>
        <v>FY2016</v>
      </c>
      <c r="K108" s="239">
        <v>42548</v>
      </c>
      <c r="L108" s="380">
        <v>881</v>
      </c>
      <c r="M108" s="265" t="s">
        <v>894</v>
      </c>
    </row>
    <row r="109" spans="1:13" ht="69" customHeight="1" x14ac:dyDescent="0.4">
      <c r="A109" s="373" t="s">
        <v>840</v>
      </c>
      <c r="B109" s="273" t="s">
        <v>1371</v>
      </c>
      <c r="C109" s="382" t="s">
        <v>1372</v>
      </c>
      <c r="D109" s="570" t="s">
        <v>1373</v>
      </c>
      <c r="E109" s="369" t="s">
        <v>183</v>
      </c>
      <c r="F109" s="236" t="s">
        <v>1374</v>
      </c>
      <c r="G109" s="260" t="s">
        <v>1194</v>
      </c>
      <c r="H109" s="263" t="s">
        <v>185</v>
      </c>
      <c r="I109" s="567" t="s">
        <v>1363</v>
      </c>
      <c r="J109" s="374" t="str">
        <f t="shared" si="1"/>
        <v>FY2016</v>
      </c>
      <c r="K109" s="253">
        <v>42747</v>
      </c>
      <c r="L109" s="376">
        <v>517</v>
      </c>
      <c r="M109" s="265" t="s">
        <v>894</v>
      </c>
    </row>
    <row r="110" spans="1:13" ht="69" customHeight="1" x14ac:dyDescent="0.4">
      <c r="A110" s="381" t="s">
        <v>902</v>
      </c>
      <c r="B110" s="273" t="s">
        <v>1267</v>
      </c>
      <c r="C110" s="273" t="s">
        <v>1333</v>
      </c>
      <c r="D110" s="570" t="s">
        <v>1375</v>
      </c>
      <c r="E110" s="369" t="s">
        <v>1301</v>
      </c>
      <c r="F110" s="236" t="s">
        <v>1376</v>
      </c>
      <c r="G110" s="263" t="s">
        <v>147</v>
      </c>
      <c r="H110" s="263" t="s">
        <v>2477</v>
      </c>
      <c r="I110" s="567" t="s">
        <v>1377</v>
      </c>
      <c r="J110" s="374" t="str">
        <f t="shared" si="1"/>
        <v>FY2019</v>
      </c>
      <c r="K110" s="376" t="s">
        <v>1303</v>
      </c>
      <c r="L110" s="376" t="s">
        <v>1357</v>
      </c>
      <c r="M110" s="265" t="s">
        <v>1140</v>
      </c>
    </row>
    <row r="111" spans="1:13" ht="69" customHeight="1" x14ac:dyDescent="0.4">
      <c r="A111" s="381" t="s">
        <v>902</v>
      </c>
      <c r="B111" s="273" t="s">
        <v>1267</v>
      </c>
      <c r="C111" s="273" t="s">
        <v>1357</v>
      </c>
      <c r="D111" s="577" t="s">
        <v>1378</v>
      </c>
      <c r="E111" s="369" t="s">
        <v>1379</v>
      </c>
      <c r="F111" s="236" t="s">
        <v>1380</v>
      </c>
      <c r="G111" s="263" t="s">
        <v>147</v>
      </c>
      <c r="H111" s="263"/>
      <c r="I111" s="567" t="s">
        <v>1377</v>
      </c>
      <c r="J111" s="374" t="str">
        <f t="shared" si="1"/>
        <v>FY2019</v>
      </c>
      <c r="K111" s="376"/>
      <c r="L111" s="376"/>
      <c r="M111" s="265"/>
    </row>
    <row r="112" spans="1:13" ht="69" customHeight="1" x14ac:dyDescent="0.4">
      <c r="A112" s="381" t="s">
        <v>902</v>
      </c>
      <c r="B112" s="273" t="s">
        <v>1307</v>
      </c>
      <c r="C112" s="273" t="s">
        <v>1303</v>
      </c>
      <c r="D112" s="561" t="s">
        <v>1381</v>
      </c>
      <c r="E112" s="509" t="s">
        <v>536</v>
      </c>
      <c r="F112" s="269" t="s">
        <v>1382</v>
      </c>
      <c r="G112" s="260" t="s">
        <v>1320</v>
      </c>
      <c r="H112" s="263" t="s">
        <v>1383</v>
      </c>
      <c r="I112" s="567" t="s">
        <v>1363</v>
      </c>
      <c r="J112" s="374" t="str">
        <f t="shared" si="1"/>
        <v>FY2016</v>
      </c>
      <c r="K112" s="253">
        <v>42712</v>
      </c>
      <c r="L112" s="528" t="s">
        <v>1303</v>
      </c>
      <c r="M112" s="240" t="s">
        <v>1198</v>
      </c>
    </row>
    <row r="113" spans="1:13" ht="69" customHeight="1" x14ac:dyDescent="0.4">
      <c r="A113" s="381" t="s">
        <v>902</v>
      </c>
      <c r="B113" s="273" t="s">
        <v>1385</v>
      </c>
      <c r="C113" s="382" t="s">
        <v>1386</v>
      </c>
      <c r="D113" s="570" t="s">
        <v>1387</v>
      </c>
      <c r="E113" s="509" t="s">
        <v>509</v>
      </c>
      <c r="F113" s="269" t="s">
        <v>1388</v>
      </c>
      <c r="G113" s="263" t="s">
        <v>147</v>
      </c>
      <c r="H113" s="260" t="s">
        <v>1389</v>
      </c>
      <c r="I113" s="567" t="s">
        <v>1390</v>
      </c>
      <c r="J113" s="374" t="str">
        <f t="shared" si="1"/>
        <v>FY2013</v>
      </c>
      <c r="K113" s="285" t="s">
        <v>152</v>
      </c>
      <c r="L113" s="528">
        <v>467</v>
      </c>
      <c r="M113" s="240" t="s">
        <v>894</v>
      </c>
    </row>
    <row r="114" spans="1:13" ht="69" customHeight="1" x14ac:dyDescent="0.4">
      <c r="A114" s="381" t="s">
        <v>902</v>
      </c>
      <c r="B114" s="273" t="s">
        <v>1360</v>
      </c>
      <c r="C114" s="273" t="s">
        <v>1142</v>
      </c>
      <c r="D114" s="575" t="s">
        <v>1391</v>
      </c>
      <c r="E114" s="509" t="s">
        <v>207</v>
      </c>
      <c r="F114" s="269" t="s">
        <v>1392</v>
      </c>
      <c r="G114" s="263" t="s">
        <v>1194</v>
      </c>
      <c r="H114" s="263"/>
      <c r="I114" s="567" t="s">
        <v>1393</v>
      </c>
      <c r="J114" s="374" t="str">
        <f t="shared" si="1"/>
        <v>FY2012</v>
      </c>
      <c r="K114" s="285" t="s">
        <v>152</v>
      </c>
      <c r="L114" s="376" t="s">
        <v>1303</v>
      </c>
      <c r="M114" s="240" t="s">
        <v>841</v>
      </c>
    </row>
    <row r="115" spans="1:13" ht="69" customHeight="1" x14ac:dyDescent="0.4">
      <c r="A115" s="381" t="s">
        <v>902</v>
      </c>
      <c r="B115" s="273" t="s">
        <v>1717</v>
      </c>
      <c r="C115" s="273" t="s">
        <v>1303</v>
      </c>
      <c r="D115" s="570" t="s">
        <v>1394</v>
      </c>
      <c r="E115" s="369" t="s">
        <v>430</v>
      </c>
      <c r="F115" s="269" t="s">
        <v>1392</v>
      </c>
      <c r="G115" s="260" t="s">
        <v>1320</v>
      </c>
      <c r="H115" s="263"/>
      <c r="I115" s="567" t="s">
        <v>1393</v>
      </c>
      <c r="J115" s="374" t="str">
        <f t="shared" si="1"/>
        <v>FY2012</v>
      </c>
      <c r="K115" s="285" t="s">
        <v>152</v>
      </c>
      <c r="L115" s="376">
        <v>21000</v>
      </c>
      <c r="M115" s="265" t="s">
        <v>1134</v>
      </c>
    </row>
    <row r="116" spans="1:13" ht="69" customHeight="1" x14ac:dyDescent="0.4">
      <c r="A116" s="381" t="s">
        <v>902</v>
      </c>
      <c r="B116" s="273" t="s">
        <v>1307</v>
      </c>
      <c r="C116" s="273" t="s">
        <v>1142</v>
      </c>
      <c r="D116" s="575" t="s">
        <v>1395</v>
      </c>
      <c r="E116" s="509" t="s">
        <v>1396</v>
      </c>
      <c r="F116" s="269" t="s">
        <v>1397</v>
      </c>
      <c r="G116" s="263" t="s">
        <v>147</v>
      </c>
      <c r="H116" s="263"/>
      <c r="I116" s="567" t="s">
        <v>1398</v>
      </c>
      <c r="J116" s="374" t="str">
        <f t="shared" si="1"/>
        <v>FY2014</v>
      </c>
      <c r="K116" s="285" t="s">
        <v>152</v>
      </c>
      <c r="L116" s="376" t="s">
        <v>1333</v>
      </c>
      <c r="M116" s="240" t="s">
        <v>841</v>
      </c>
    </row>
    <row r="117" spans="1:13" ht="69" customHeight="1" x14ac:dyDescent="0.4">
      <c r="A117" s="381" t="s">
        <v>902</v>
      </c>
      <c r="B117" s="273" t="s">
        <v>1385</v>
      </c>
      <c r="C117" s="382" t="s">
        <v>1399</v>
      </c>
      <c r="D117" s="572" t="s">
        <v>1400</v>
      </c>
      <c r="E117" s="509" t="s">
        <v>1401</v>
      </c>
      <c r="F117" s="236" t="s">
        <v>711</v>
      </c>
      <c r="G117" s="263" t="s">
        <v>147</v>
      </c>
      <c r="H117" s="260" t="s">
        <v>1402</v>
      </c>
      <c r="I117" s="567" t="s">
        <v>1403</v>
      </c>
      <c r="J117" s="374" t="str">
        <f t="shared" si="1"/>
        <v>FY2015</v>
      </c>
      <c r="K117" s="285" t="s">
        <v>152</v>
      </c>
      <c r="L117" s="383">
        <v>437.5</v>
      </c>
      <c r="M117" s="265" t="s">
        <v>1384</v>
      </c>
    </row>
    <row r="118" spans="1:13" ht="69" customHeight="1" x14ac:dyDescent="0.4">
      <c r="A118" s="381" t="s">
        <v>902</v>
      </c>
      <c r="B118" s="273" t="s">
        <v>1385</v>
      </c>
      <c r="C118" s="382" t="s">
        <v>1404</v>
      </c>
      <c r="D118" s="570" t="s">
        <v>1405</v>
      </c>
      <c r="E118" s="509" t="s">
        <v>458</v>
      </c>
      <c r="F118" s="269" t="s">
        <v>1406</v>
      </c>
      <c r="G118" s="263" t="s">
        <v>147</v>
      </c>
      <c r="H118" s="263" t="s">
        <v>1407</v>
      </c>
      <c r="I118" s="567" t="s">
        <v>1408</v>
      </c>
      <c r="J118" s="374" t="str">
        <f t="shared" si="1"/>
        <v>FY2014</v>
      </c>
      <c r="K118" s="285" t="s">
        <v>152</v>
      </c>
      <c r="L118" s="528">
        <v>567</v>
      </c>
      <c r="M118" s="265" t="s">
        <v>1409</v>
      </c>
    </row>
    <row r="119" spans="1:13" ht="69" customHeight="1" x14ac:dyDescent="0.4">
      <c r="A119" s="381" t="s">
        <v>902</v>
      </c>
      <c r="B119" s="273" t="s">
        <v>1410</v>
      </c>
      <c r="C119" s="382" t="s">
        <v>1411</v>
      </c>
      <c r="D119" s="570" t="s">
        <v>1412</v>
      </c>
      <c r="E119" s="509" t="s">
        <v>233</v>
      </c>
      <c r="F119" s="269" t="s">
        <v>1413</v>
      </c>
      <c r="G119" s="263" t="s">
        <v>147</v>
      </c>
      <c r="H119" s="254" t="s">
        <v>1414</v>
      </c>
      <c r="I119" s="567" t="s">
        <v>1415</v>
      </c>
      <c r="J119" s="374" t="str">
        <f t="shared" si="1"/>
        <v>FY2013</v>
      </c>
      <c r="K119" s="285" t="s">
        <v>152</v>
      </c>
      <c r="L119" s="384">
        <v>3400</v>
      </c>
      <c r="M119" s="240" t="s">
        <v>1384</v>
      </c>
    </row>
    <row r="120" spans="1:13" ht="69" customHeight="1" x14ac:dyDescent="0.4">
      <c r="A120" s="381" t="s">
        <v>902</v>
      </c>
      <c r="B120" s="273" t="s">
        <v>1416</v>
      </c>
      <c r="C120" s="382" t="s">
        <v>1417</v>
      </c>
      <c r="D120" s="570" t="s">
        <v>1418</v>
      </c>
      <c r="E120" s="509" t="s">
        <v>233</v>
      </c>
      <c r="F120" s="269" t="s">
        <v>1419</v>
      </c>
      <c r="G120" s="263" t="s">
        <v>147</v>
      </c>
      <c r="H120" s="254" t="s">
        <v>1420</v>
      </c>
      <c r="I120" s="567" t="s">
        <v>1421</v>
      </c>
      <c r="J120" s="374" t="str">
        <f t="shared" si="1"/>
        <v>FY2013</v>
      </c>
      <c r="K120" s="285" t="s">
        <v>152</v>
      </c>
      <c r="L120" s="380">
        <v>55000</v>
      </c>
      <c r="M120" s="265" t="s">
        <v>1384</v>
      </c>
    </row>
    <row r="121" spans="1:13" ht="69" customHeight="1" x14ac:dyDescent="0.4">
      <c r="A121" s="381" t="s">
        <v>902</v>
      </c>
      <c r="B121" s="273" t="s">
        <v>1422</v>
      </c>
      <c r="C121" s="382" t="s">
        <v>1423</v>
      </c>
      <c r="D121" s="570" t="s">
        <v>1424</v>
      </c>
      <c r="E121" s="369" t="s">
        <v>233</v>
      </c>
      <c r="F121" s="236" t="s">
        <v>1425</v>
      </c>
      <c r="G121" s="260" t="s">
        <v>147</v>
      </c>
      <c r="H121" s="263" t="s">
        <v>1426</v>
      </c>
      <c r="I121" s="567" t="s">
        <v>1427</v>
      </c>
      <c r="J121" s="374" t="str">
        <f t="shared" si="1"/>
        <v>FY2015</v>
      </c>
      <c r="K121" s="285" t="s">
        <v>152</v>
      </c>
      <c r="L121" s="376">
        <v>380</v>
      </c>
      <c r="M121" s="240" t="s">
        <v>1384</v>
      </c>
    </row>
    <row r="122" spans="1:13" ht="69" customHeight="1" x14ac:dyDescent="0.4">
      <c r="A122" s="373" t="s">
        <v>840</v>
      </c>
      <c r="B122" s="273" t="s">
        <v>1371</v>
      </c>
      <c r="C122" s="382" t="s">
        <v>2364</v>
      </c>
      <c r="D122" s="570" t="s">
        <v>1428</v>
      </c>
      <c r="E122" s="369" t="s">
        <v>188</v>
      </c>
      <c r="F122" s="236" t="s">
        <v>1429</v>
      </c>
      <c r="G122" s="260" t="s">
        <v>1320</v>
      </c>
      <c r="H122" s="263" t="s">
        <v>185</v>
      </c>
      <c r="I122" s="567" t="s">
        <v>1363</v>
      </c>
      <c r="J122" s="374" t="str">
        <f t="shared" si="1"/>
        <v>FY2016</v>
      </c>
      <c r="K122" s="239">
        <v>42548</v>
      </c>
      <c r="L122" s="380">
        <v>2245</v>
      </c>
      <c r="M122" s="265" t="s">
        <v>894</v>
      </c>
    </row>
    <row r="123" spans="1:13" ht="69" customHeight="1" x14ac:dyDescent="0.4">
      <c r="A123" s="373" t="s">
        <v>840</v>
      </c>
      <c r="B123" s="273" t="s">
        <v>1410</v>
      </c>
      <c r="C123" s="382" t="s">
        <v>1430</v>
      </c>
      <c r="D123" s="570" t="s">
        <v>1431</v>
      </c>
      <c r="E123" s="369" t="s">
        <v>233</v>
      </c>
      <c r="F123" s="236" t="s">
        <v>1432</v>
      </c>
      <c r="G123" s="263" t="s">
        <v>1433</v>
      </c>
      <c r="H123" s="263" t="s">
        <v>185</v>
      </c>
      <c r="I123" s="567" t="s">
        <v>1363</v>
      </c>
      <c r="J123" s="374" t="str">
        <f t="shared" si="1"/>
        <v>FY2016</v>
      </c>
      <c r="K123" s="253">
        <v>42674</v>
      </c>
      <c r="L123" s="376">
        <v>369</v>
      </c>
      <c r="M123" s="265" t="s">
        <v>894</v>
      </c>
    </row>
    <row r="124" spans="1:13" ht="69" customHeight="1" x14ac:dyDescent="0.4">
      <c r="A124" s="373" t="s">
        <v>840</v>
      </c>
      <c r="B124" s="273" t="s">
        <v>1321</v>
      </c>
      <c r="C124" s="273" t="s">
        <v>1303</v>
      </c>
      <c r="D124" s="570" t="s">
        <v>1434</v>
      </c>
      <c r="E124" s="369" t="s">
        <v>233</v>
      </c>
      <c r="F124" s="236" t="s">
        <v>1435</v>
      </c>
      <c r="G124" s="260" t="s">
        <v>1436</v>
      </c>
      <c r="H124" s="263" t="s">
        <v>1342</v>
      </c>
      <c r="I124" s="567" t="s">
        <v>1363</v>
      </c>
      <c r="J124" s="374" t="str">
        <f t="shared" si="1"/>
        <v>FY2016</v>
      </c>
      <c r="K124" s="239">
        <v>42548</v>
      </c>
      <c r="L124" s="380">
        <v>47182</v>
      </c>
      <c r="M124" s="265" t="s">
        <v>894</v>
      </c>
    </row>
    <row r="125" spans="1:13" ht="69" customHeight="1" x14ac:dyDescent="0.4">
      <c r="A125" s="373" t="s">
        <v>840</v>
      </c>
      <c r="B125" s="273" t="s">
        <v>1437</v>
      </c>
      <c r="C125" s="273" t="s">
        <v>1303</v>
      </c>
      <c r="D125" s="560" t="s">
        <v>1438</v>
      </c>
      <c r="E125" s="509" t="s">
        <v>233</v>
      </c>
      <c r="F125" s="269" t="s">
        <v>1315</v>
      </c>
      <c r="G125" s="263" t="s">
        <v>147</v>
      </c>
      <c r="H125" s="263"/>
      <c r="I125" s="567" t="s">
        <v>1363</v>
      </c>
      <c r="J125" s="374" t="str">
        <f t="shared" si="1"/>
        <v>FY2016</v>
      </c>
      <c r="K125" s="272">
        <v>42548</v>
      </c>
      <c r="L125" s="384">
        <v>533</v>
      </c>
      <c r="M125" s="240" t="s">
        <v>894</v>
      </c>
    </row>
    <row r="126" spans="1:13" ht="69" customHeight="1" x14ac:dyDescent="0.4">
      <c r="A126" s="373" t="s">
        <v>840</v>
      </c>
      <c r="B126" s="273" t="s">
        <v>1267</v>
      </c>
      <c r="C126" s="273" t="s">
        <v>1439</v>
      </c>
      <c r="D126" s="570" t="s">
        <v>1440</v>
      </c>
      <c r="E126" s="369" t="s">
        <v>233</v>
      </c>
      <c r="F126" s="236" t="s">
        <v>1441</v>
      </c>
      <c r="G126" s="260" t="s">
        <v>147</v>
      </c>
      <c r="H126" s="260" t="s">
        <v>1442</v>
      </c>
      <c r="I126" s="567" t="s">
        <v>1363</v>
      </c>
      <c r="J126" s="374" t="str">
        <f t="shared" si="1"/>
        <v>FY2016</v>
      </c>
      <c r="K126" s="239">
        <v>42548</v>
      </c>
      <c r="L126" s="380">
        <v>403</v>
      </c>
      <c r="M126" s="265" t="s">
        <v>894</v>
      </c>
    </row>
    <row r="127" spans="1:13" ht="69" customHeight="1" x14ac:dyDescent="0.4">
      <c r="A127" s="373" t="s">
        <v>840</v>
      </c>
      <c r="B127" s="273" t="s">
        <v>1410</v>
      </c>
      <c r="C127" s="382" t="s">
        <v>1443</v>
      </c>
      <c r="D127" s="570" t="s">
        <v>1444</v>
      </c>
      <c r="E127" s="369" t="s">
        <v>233</v>
      </c>
      <c r="F127" s="236" t="s">
        <v>1445</v>
      </c>
      <c r="G127" s="260" t="s">
        <v>147</v>
      </c>
      <c r="H127" s="260" t="s">
        <v>1446</v>
      </c>
      <c r="I127" s="567" t="s">
        <v>1363</v>
      </c>
      <c r="J127" s="374" t="str">
        <f t="shared" si="1"/>
        <v>FY2016</v>
      </c>
      <c r="K127" s="239">
        <v>42548</v>
      </c>
      <c r="L127" s="380">
        <v>430</v>
      </c>
      <c r="M127" s="265" t="s">
        <v>894</v>
      </c>
    </row>
    <row r="128" spans="1:13" ht="69" customHeight="1" x14ac:dyDescent="0.4">
      <c r="A128" s="373" t="s">
        <v>840</v>
      </c>
      <c r="B128" s="273" t="s">
        <v>1267</v>
      </c>
      <c r="C128" s="273" t="s">
        <v>1303</v>
      </c>
      <c r="D128" s="570" t="s">
        <v>1447</v>
      </c>
      <c r="E128" s="369" t="s">
        <v>233</v>
      </c>
      <c r="F128" s="236" t="s">
        <v>423</v>
      </c>
      <c r="G128" s="260" t="s">
        <v>1448</v>
      </c>
      <c r="H128" s="260" t="s">
        <v>1402</v>
      </c>
      <c r="I128" s="567" t="s">
        <v>1363</v>
      </c>
      <c r="J128" s="374" t="str">
        <f t="shared" si="1"/>
        <v>FY2016</v>
      </c>
      <c r="K128" s="239">
        <v>42548</v>
      </c>
      <c r="L128" s="380">
        <v>2583</v>
      </c>
      <c r="M128" s="265" t="s">
        <v>894</v>
      </c>
    </row>
    <row r="129" spans="1:13" ht="69" customHeight="1" x14ac:dyDescent="0.4">
      <c r="A129" s="373" t="s">
        <v>840</v>
      </c>
      <c r="B129" s="273" t="s">
        <v>1449</v>
      </c>
      <c r="C129" s="273" t="s">
        <v>1303</v>
      </c>
      <c r="D129" s="570" t="s">
        <v>1450</v>
      </c>
      <c r="E129" s="369" t="s">
        <v>542</v>
      </c>
      <c r="F129" s="236" t="s">
        <v>1451</v>
      </c>
      <c r="G129" s="260" t="s">
        <v>147</v>
      </c>
      <c r="H129" s="263" t="s">
        <v>398</v>
      </c>
      <c r="I129" s="567" t="s">
        <v>1363</v>
      </c>
      <c r="J129" s="374" t="str">
        <f t="shared" si="1"/>
        <v>FY2016</v>
      </c>
      <c r="K129" s="253">
        <v>42664</v>
      </c>
      <c r="L129" s="376">
        <v>3435</v>
      </c>
      <c r="M129" s="265" t="s">
        <v>894</v>
      </c>
    </row>
    <row r="130" spans="1:13" ht="69" customHeight="1" x14ac:dyDescent="0.4">
      <c r="A130" s="373" t="s">
        <v>840</v>
      </c>
      <c r="B130" s="273" t="s">
        <v>1452</v>
      </c>
      <c r="C130" s="273" t="s">
        <v>1303</v>
      </c>
      <c r="D130" s="570" t="s">
        <v>1453</v>
      </c>
      <c r="E130" s="369" t="s">
        <v>542</v>
      </c>
      <c r="F130" s="236" t="s">
        <v>1429</v>
      </c>
      <c r="G130" s="260" t="s">
        <v>1454</v>
      </c>
      <c r="H130" s="260" t="s">
        <v>1455</v>
      </c>
      <c r="I130" s="567" t="s">
        <v>1363</v>
      </c>
      <c r="J130" s="374" t="str">
        <f t="shared" si="1"/>
        <v>FY2016</v>
      </c>
      <c r="K130" s="239">
        <v>42548</v>
      </c>
      <c r="L130" s="380">
        <v>43435</v>
      </c>
      <c r="M130" s="265" t="s">
        <v>894</v>
      </c>
    </row>
    <row r="131" spans="1:13" ht="69" customHeight="1" x14ac:dyDescent="0.4">
      <c r="A131" s="373" t="s">
        <v>840</v>
      </c>
      <c r="B131" s="273" t="s">
        <v>2248</v>
      </c>
      <c r="C131" s="382" t="s">
        <v>1556</v>
      </c>
      <c r="D131" s="570" t="s">
        <v>1457</v>
      </c>
      <c r="E131" s="369" t="s">
        <v>509</v>
      </c>
      <c r="F131" s="236" t="s">
        <v>950</v>
      </c>
      <c r="G131" s="260" t="s">
        <v>1458</v>
      </c>
      <c r="H131" s="263" t="s">
        <v>185</v>
      </c>
      <c r="I131" s="567" t="s">
        <v>1363</v>
      </c>
      <c r="J131" s="374" t="str">
        <f t="shared" si="1"/>
        <v>FY2016</v>
      </c>
      <c r="K131" s="239">
        <v>42548</v>
      </c>
      <c r="L131" s="380">
        <v>12009</v>
      </c>
      <c r="M131" s="265" t="s">
        <v>894</v>
      </c>
    </row>
    <row r="132" spans="1:13" ht="69" customHeight="1" x14ac:dyDescent="0.4">
      <c r="A132" s="373" t="s">
        <v>840</v>
      </c>
      <c r="B132" s="273" t="s">
        <v>1267</v>
      </c>
      <c r="C132" s="273" t="s">
        <v>1459</v>
      </c>
      <c r="D132" s="570" t="s">
        <v>1460</v>
      </c>
      <c r="E132" s="369" t="s">
        <v>478</v>
      </c>
      <c r="F132" s="236" t="s">
        <v>1461</v>
      </c>
      <c r="G132" s="260" t="s">
        <v>147</v>
      </c>
      <c r="H132" s="263" t="s">
        <v>1462</v>
      </c>
      <c r="I132" s="567" t="s">
        <v>1363</v>
      </c>
      <c r="J132" s="374" t="str">
        <f t="shared" si="1"/>
        <v>FY2016</v>
      </c>
      <c r="K132" s="253">
        <v>42747</v>
      </c>
      <c r="L132" s="376">
        <v>125</v>
      </c>
      <c r="M132" s="265" t="s">
        <v>894</v>
      </c>
    </row>
    <row r="133" spans="1:13" ht="69" customHeight="1" x14ac:dyDescent="0.4">
      <c r="A133" s="373" t="s">
        <v>840</v>
      </c>
      <c r="B133" s="273" t="s">
        <v>1267</v>
      </c>
      <c r="C133" s="273" t="s">
        <v>1439</v>
      </c>
      <c r="D133" s="570" t="s">
        <v>1463</v>
      </c>
      <c r="E133" s="369" t="s">
        <v>478</v>
      </c>
      <c r="F133" s="236" t="s">
        <v>505</v>
      </c>
      <c r="G133" s="260" t="s">
        <v>1464</v>
      </c>
      <c r="H133" s="263" t="s">
        <v>1465</v>
      </c>
      <c r="I133" s="567" t="s">
        <v>1363</v>
      </c>
      <c r="J133" s="374" t="str">
        <f t="shared" si="1"/>
        <v>FY2016</v>
      </c>
      <c r="K133" s="253">
        <v>42664</v>
      </c>
      <c r="L133" s="376">
        <v>4080</v>
      </c>
      <c r="M133" s="265" t="s">
        <v>894</v>
      </c>
    </row>
    <row r="134" spans="1:13" ht="69" customHeight="1" x14ac:dyDescent="0.4">
      <c r="A134" s="373" t="s">
        <v>840</v>
      </c>
      <c r="B134" s="273" t="s">
        <v>1267</v>
      </c>
      <c r="C134" s="273" t="s">
        <v>1303</v>
      </c>
      <c r="D134" s="570" t="s">
        <v>1466</v>
      </c>
      <c r="E134" s="369" t="s">
        <v>478</v>
      </c>
      <c r="F134" s="236" t="s">
        <v>1467</v>
      </c>
      <c r="G134" s="260" t="s">
        <v>1464</v>
      </c>
      <c r="H134" s="260" t="s">
        <v>1468</v>
      </c>
      <c r="I134" s="567" t="s">
        <v>1363</v>
      </c>
      <c r="J134" s="374" t="str">
        <f t="shared" si="1"/>
        <v>FY2016</v>
      </c>
      <c r="K134" s="239">
        <v>42548</v>
      </c>
      <c r="L134" s="380">
        <v>2841</v>
      </c>
      <c r="M134" s="265" t="s">
        <v>894</v>
      </c>
    </row>
    <row r="135" spans="1:13" ht="69" customHeight="1" x14ac:dyDescent="0.4">
      <c r="A135" s="373" t="s">
        <v>840</v>
      </c>
      <c r="B135" s="273" t="s">
        <v>1267</v>
      </c>
      <c r="C135" s="273" t="s">
        <v>1469</v>
      </c>
      <c r="D135" s="570" t="s">
        <v>1470</v>
      </c>
      <c r="E135" s="369" t="s">
        <v>478</v>
      </c>
      <c r="F135" s="236" t="s">
        <v>1471</v>
      </c>
      <c r="G135" s="260" t="s">
        <v>147</v>
      </c>
      <c r="H135" s="263" t="s">
        <v>398</v>
      </c>
      <c r="I135" s="567" t="s">
        <v>1363</v>
      </c>
      <c r="J135" s="374" t="str">
        <f t="shared" si="1"/>
        <v>FY2016</v>
      </c>
      <c r="K135" s="239">
        <v>42548</v>
      </c>
      <c r="L135" s="380">
        <v>674</v>
      </c>
      <c r="M135" s="265" t="s">
        <v>894</v>
      </c>
    </row>
    <row r="136" spans="1:13" ht="69" customHeight="1" x14ac:dyDescent="0.4">
      <c r="A136" s="373" t="s">
        <v>840</v>
      </c>
      <c r="B136" s="273" t="s">
        <v>1267</v>
      </c>
      <c r="C136" s="273" t="s">
        <v>1303</v>
      </c>
      <c r="D136" s="570" t="s">
        <v>1472</v>
      </c>
      <c r="E136" s="369" t="s">
        <v>560</v>
      </c>
      <c r="F136" s="236" t="s">
        <v>1473</v>
      </c>
      <c r="G136" s="260" t="s">
        <v>147</v>
      </c>
      <c r="H136" s="263" t="s">
        <v>398</v>
      </c>
      <c r="I136" s="567" t="s">
        <v>1363</v>
      </c>
      <c r="J136" s="374" t="str">
        <f t="shared" si="1"/>
        <v>FY2016</v>
      </c>
      <c r="K136" s="253">
        <v>42747</v>
      </c>
      <c r="L136" s="376">
        <v>3060</v>
      </c>
      <c r="M136" s="265" t="s">
        <v>894</v>
      </c>
    </row>
    <row r="137" spans="1:13" ht="69" customHeight="1" x14ac:dyDescent="0.4">
      <c r="A137" s="373" t="s">
        <v>840</v>
      </c>
      <c r="B137" s="273" t="s">
        <v>1267</v>
      </c>
      <c r="C137" s="273" t="s">
        <v>1474</v>
      </c>
      <c r="D137" s="570" t="s">
        <v>1475</v>
      </c>
      <c r="E137" s="369" t="s">
        <v>560</v>
      </c>
      <c r="F137" s="236" t="s">
        <v>1476</v>
      </c>
      <c r="G137" s="260" t="s">
        <v>147</v>
      </c>
      <c r="H137" s="263" t="s">
        <v>1477</v>
      </c>
      <c r="I137" s="567" t="s">
        <v>1363</v>
      </c>
      <c r="J137" s="374" t="str">
        <f t="shared" si="1"/>
        <v>FY2016</v>
      </c>
      <c r="K137" s="253">
        <v>42747</v>
      </c>
      <c r="L137" s="376">
        <v>2493</v>
      </c>
      <c r="M137" s="265" t="s">
        <v>894</v>
      </c>
    </row>
    <row r="138" spans="1:13" ht="69" customHeight="1" x14ac:dyDescent="0.4">
      <c r="A138" s="373" t="s">
        <v>840</v>
      </c>
      <c r="B138" s="273" t="s">
        <v>1371</v>
      </c>
      <c r="C138" s="382" t="s">
        <v>2419</v>
      </c>
      <c r="D138" s="570" t="s">
        <v>1478</v>
      </c>
      <c r="E138" s="369" t="s">
        <v>560</v>
      </c>
      <c r="F138" s="236" t="s">
        <v>961</v>
      </c>
      <c r="G138" s="260" t="s">
        <v>1458</v>
      </c>
      <c r="H138" s="263" t="s">
        <v>185</v>
      </c>
      <c r="I138" s="567" t="s">
        <v>1363</v>
      </c>
      <c r="J138" s="374" t="str">
        <f t="shared" si="1"/>
        <v>FY2016</v>
      </c>
      <c r="K138" s="253">
        <v>42747</v>
      </c>
      <c r="L138" s="376">
        <v>13293</v>
      </c>
      <c r="M138" s="265" t="s">
        <v>894</v>
      </c>
    </row>
    <row r="139" spans="1:13" ht="69" customHeight="1" x14ac:dyDescent="0.4">
      <c r="A139" s="373" t="s">
        <v>840</v>
      </c>
      <c r="B139" s="273" t="s">
        <v>1321</v>
      </c>
      <c r="C139" s="273" t="s">
        <v>1474</v>
      </c>
      <c r="D139" s="570" t="s">
        <v>1479</v>
      </c>
      <c r="E139" s="369" t="s">
        <v>560</v>
      </c>
      <c r="F139" s="236" t="s">
        <v>1480</v>
      </c>
      <c r="G139" s="260" t="s">
        <v>1433</v>
      </c>
      <c r="H139" s="263" t="s">
        <v>185</v>
      </c>
      <c r="I139" s="567" t="s">
        <v>1363</v>
      </c>
      <c r="J139" s="374" t="str">
        <f t="shared" si="1"/>
        <v>FY2016</v>
      </c>
      <c r="K139" s="253">
        <v>42674</v>
      </c>
      <c r="L139" s="376">
        <v>2552</v>
      </c>
      <c r="M139" s="265" t="s">
        <v>894</v>
      </c>
    </row>
    <row r="140" spans="1:13" ht="69" customHeight="1" x14ac:dyDescent="0.4">
      <c r="A140" s="373" t="s">
        <v>840</v>
      </c>
      <c r="B140" s="273" t="s">
        <v>1267</v>
      </c>
      <c r="C140" s="273" t="s">
        <v>1456</v>
      </c>
      <c r="D140" s="570" t="s">
        <v>1481</v>
      </c>
      <c r="E140" s="369" t="s">
        <v>560</v>
      </c>
      <c r="F140" s="236" t="s">
        <v>1482</v>
      </c>
      <c r="G140" s="260" t="s">
        <v>1483</v>
      </c>
      <c r="H140" s="263" t="s">
        <v>1468</v>
      </c>
      <c r="I140" s="567" t="s">
        <v>1363</v>
      </c>
      <c r="J140" s="374" t="str">
        <f t="shared" si="1"/>
        <v>FY2016</v>
      </c>
      <c r="K140" s="253">
        <v>42664</v>
      </c>
      <c r="L140" s="376">
        <v>985</v>
      </c>
      <c r="M140" s="265" t="s">
        <v>894</v>
      </c>
    </row>
    <row r="141" spans="1:13" ht="69" customHeight="1" x14ac:dyDescent="0.4">
      <c r="A141" s="373" t="s">
        <v>840</v>
      </c>
      <c r="B141" s="273" t="s">
        <v>1484</v>
      </c>
      <c r="C141" s="382" t="s">
        <v>1485</v>
      </c>
      <c r="D141" s="570" t="s">
        <v>1486</v>
      </c>
      <c r="E141" s="369" t="s">
        <v>560</v>
      </c>
      <c r="F141" s="236" t="s">
        <v>1429</v>
      </c>
      <c r="G141" s="260" t="s">
        <v>1487</v>
      </c>
      <c r="H141" s="263" t="s">
        <v>237</v>
      </c>
      <c r="I141" s="567" t="s">
        <v>1363</v>
      </c>
      <c r="J141" s="374" t="str">
        <f t="shared" si="1"/>
        <v>FY2016</v>
      </c>
      <c r="K141" s="239">
        <v>42566</v>
      </c>
      <c r="L141" s="380">
        <v>29746</v>
      </c>
      <c r="M141" s="265" t="s">
        <v>894</v>
      </c>
    </row>
    <row r="142" spans="1:13" ht="69" customHeight="1" x14ac:dyDescent="0.4">
      <c r="A142" s="373" t="s">
        <v>840</v>
      </c>
      <c r="B142" s="273" t="s">
        <v>1267</v>
      </c>
      <c r="C142" s="273" t="s">
        <v>1303</v>
      </c>
      <c r="D142" s="570" t="s">
        <v>1488</v>
      </c>
      <c r="E142" s="369" t="s">
        <v>188</v>
      </c>
      <c r="F142" s="236" t="s">
        <v>1429</v>
      </c>
      <c r="G142" s="260" t="s">
        <v>1489</v>
      </c>
      <c r="H142" s="260" t="s">
        <v>1490</v>
      </c>
      <c r="I142" s="567" t="s">
        <v>1363</v>
      </c>
      <c r="J142" s="374" t="str">
        <f t="shared" si="1"/>
        <v>FY2016</v>
      </c>
      <c r="K142" s="239">
        <v>42548</v>
      </c>
      <c r="L142" s="380">
        <v>585</v>
      </c>
      <c r="M142" s="265" t="s">
        <v>894</v>
      </c>
    </row>
    <row r="143" spans="1:13" ht="69" customHeight="1" x14ac:dyDescent="0.4">
      <c r="A143" s="373" t="s">
        <v>840</v>
      </c>
      <c r="B143" s="273" t="s">
        <v>1267</v>
      </c>
      <c r="C143" s="273" t="s">
        <v>1303</v>
      </c>
      <c r="D143" s="570" t="s">
        <v>1491</v>
      </c>
      <c r="E143" s="369" t="s">
        <v>560</v>
      </c>
      <c r="F143" s="236" t="s">
        <v>1492</v>
      </c>
      <c r="G143" s="260" t="s">
        <v>1493</v>
      </c>
      <c r="H143" s="263" t="s">
        <v>407</v>
      </c>
      <c r="I143" s="567" t="s">
        <v>1363</v>
      </c>
      <c r="J143" s="374" t="str">
        <f t="shared" si="1"/>
        <v>FY2016</v>
      </c>
      <c r="K143" s="239">
        <v>42566</v>
      </c>
      <c r="L143" s="380">
        <v>5904</v>
      </c>
      <c r="M143" s="265" t="s">
        <v>894</v>
      </c>
    </row>
    <row r="144" spans="1:13" ht="69" customHeight="1" x14ac:dyDescent="0.4">
      <c r="A144" s="373" t="s">
        <v>840</v>
      </c>
      <c r="B144" s="273" t="s">
        <v>1267</v>
      </c>
      <c r="C144" s="273" t="s">
        <v>1456</v>
      </c>
      <c r="D144" s="570" t="s">
        <v>1494</v>
      </c>
      <c r="E144" s="369" t="s">
        <v>560</v>
      </c>
      <c r="F144" s="236" t="s">
        <v>1495</v>
      </c>
      <c r="G144" s="260" t="s">
        <v>147</v>
      </c>
      <c r="H144" s="260" t="s">
        <v>1496</v>
      </c>
      <c r="I144" s="567" t="s">
        <v>1363</v>
      </c>
      <c r="J144" s="374" t="str">
        <f t="shared" si="1"/>
        <v>FY2016</v>
      </c>
      <c r="K144" s="239">
        <v>42566</v>
      </c>
      <c r="L144" s="380">
        <v>293</v>
      </c>
      <c r="M144" s="265" t="s">
        <v>894</v>
      </c>
    </row>
    <row r="145" spans="1:13" ht="69" customHeight="1" x14ac:dyDescent="0.4">
      <c r="A145" s="373" t="s">
        <v>840</v>
      </c>
      <c r="B145" s="273" t="s">
        <v>1267</v>
      </c>
      <c r="C145" s="273" t="s">
        <v>1303</v>
      </c>
      <c r="D145" s="570" t="s">
        <v>2427</v>
      </c>
      <c r="E145" s="369" t="s">
        <v>560</v>
      </c>
      <c r="F145" s="236" t="s">
        <v>1497</v>
      </c>
      <c r="G145" s="260" t="s">
        <v>147</v>
      </c>
      <c r="H145" s="260" t="s">
        <v>1498</v>
      </c>
      <c r="I145" s="567" t="s">
        <v>1363</v>
      </c>
      <c r="J145" s="374" t="str">
        <f t="shared" si="1"/>
        <v>FY2016</v>
      </c>
      <c r="K145" s="239">
        <v>42566</v>
      </c>
      <c r="L145" s="380">
        <v>1527</v>
      </c>
      <c r="M145" s="265" t="s">
        <v>894</v>
      </c>
    </row>
    <row r="146" spans="1:13" ht="69" customHeight="1" x14ac:dyDescent="0.4">
      <c r="A146" s="373" t="s">
        <v>840</v>
      </c>
      <c r="B146" s="273" t="s">
        <v>1267</v>
      </c>
      <c r="C146" s="273" t="s">
        <v>1469</v>
      </c>
      <c r="D146" s="570" t="s">
        <v>1499</v>
      </c>
      <c r="E146" s="509" t="s">
        <v>560</v>
      </c>
      <c r="F146" s="269" t="s">
        <v>1500</v>
      </c>
      <c r="G146" s="260" t="s">
        <v>1433</v>
      </c>
      <c r="H146" s="263" t="s">
        <v>185</v>
      </c>
      <c r="I146" s="567" t="s">
        <v>1363</v>
      </c>
      <c r="J146" s="374" t="str">
        <f t="shared" si="1"/>
        <v>FY2016</v>
      </c>
      <c r="K146" s="272">
        <v>42566</v>
      </c>
      <c r="L146" s="384">
        <v>844</v>
      </c>
      <c r="M146" s="240" t="s">
        <v>894</v>
      </c>
    </row>
    <row r="147" spans="1:13" ht="69" customHeight="1" x14ac:dyDescent="0.4">
      <c r="A147" s="373" t="s">
        <v>840</v>
      </c>
      <c r="B147" s="273" t="s">
        <v>1501</v>
      </c>
      <c r="C147" s="382" t="s">
        <v>1502</v>
      </c>
      <c r="D147" s="570" t="s">
        <v>1503</v>
      </c>
      <c r="E147" s="369" t="s">
        <v>560</v>
      </c>
      <c r="F147" s="236" t="s">
        <v>961</v>
      </c>
      <c r="G147" s="263" t="s">
        <v>1504</v>
      </c>
      <c r="H147" s="263" t="s">
        <v>185</v>
      </c>
      <c r="I147" s="567" t="s">
        <v>1363</v>
      </c>
      <c r="J147" s="374" t="str">
        <f t="shared" si="1"/>
        <v>FY2016</v>
      </c>
      <c r="K147" s="239">
        <v>42566</v>
      </c>
      <c r="L147" s="380">
        <v>1179</v>
      </c>
      <c r="M147" s="265" t="s">
        <v>894</v>
      </c>
    </row>
    <row r="148" spans="1:13" ht="69" customHeight="1" x14ac:dyDescent="0.4">
      <c r="A148" s="373" t="s">
        <v>840</v>
      </c>
      <c r="B148" s="273" t="s">
        <v>1267</v>
      </c>
      <c r="C148" s="273" t="s">
        <v>1303</v>
      </c>
      <c r="D148" s="570" t="s">
        <v>1505</v>
      </c>
      <c r="E148" s="369" t="s">
        <v>560</v>
      </c>
      <c r="F148" s="236" t="s">
        <v>1506</v>
      </c>
      <c r="G148" s="260" t="s">
        <v>147</v>
      </c>
      <c r="H148" s="260" t="s">
        <v>1507</v>
      </c>
      <c r="I148" s="567" t="s">
        <v>1363</v>
      </c>
      <c r="J148" s="374" t="str">
        <f t="shared" si="1"/>
        <v>FY2016</v>
      </c>
      <c r="K148" s="239">
        <v>42548</v>
      </c>
      <c r="L148" s="380">
        <v>941</v>
      </c>
      <c r="M148" s="265" t="s">
        <v>894</v>
      </c>
    </row>
    <row r="149" spans="1:13" ht="69" customHeight="1" x14ac:dyDescent="0.4">
      <c r="A149" s="373" t="s">
        <v>840</v>
      </c>
      <c r="B149" s="273" t="s">
        <v>1267</v>
      </c>
      <c r="C149" s="273" t="s">
        <v>1469</v>
      </c>
      <c r="D149" s="570" t="s">
        <v>1508</v>
      </c>
      <c r="E149" s="369" t="s">
        <v>560</v>
      </c>
      <c r="F149" s="236" t="s">
        <v>1509</v>
      </c>
      <c r="G149" s="260" t="s">
        <v>147</v>
      </c>
      <c r="H149" s="254" t="s">
        <v>1510</v>
      </c>
      <c r="I149" s="567" t="s">
        <v>1363</v>
      </c>
      <c r="J149" s="374" t="str">
        <f t="shared" si="1"/>
        <v>FY2016</v>
      </c>
      <c r="K149" s="239">
        <v>42548</v>
      </c>
      <c r="L149" s="380">
        <v>2591</v>
      </c>
      <c r="M149" s="265" t="s">
        <v>894</v>
      </c>
    </row>
    <row r="150" spans="1:13" ht="69" customHeight="1" x14ac:dyDescent="0.4">
      <c r="A150" s="373" t="s">
        <v>840</v>
      </c>
      <c r="B150" s="273" t="s">
        <v>1267</v>
      </c>
      <c r="C150" s="273" t="s">
        <v>1469</v>
      </c>
      <c r="D150" s="570" t="s">
        <v>1447</v>
      </c>
      <c r="E150" s="369" t="s">
        <v>560</v>
      </c>
      <c r="F150" s="236" t="s">
        <v>423</v>
      </c>
      <c r="G150" s="260" t="s">
        <v>147</v>
      </c>
      <c r="H150" s="260" t="s">
        <v>1402</v>
      </c>
      <c r="I150" s="567" t="s">
        <v>1363</v>
      </c>
      <c r="J150" s="374" t="str">
        <f t="shared" si="1"/>
        <v>FY2016</v>
      </c>
      <c r="K150" s="239">
        <v>42548</v>
      </c>
      <c r="L150" s="380">
        <v>1649</v>
      </c>
      <c r="M150" s="265" t="s">
        <v>894</v>
      </c>
    </row>
    <row r="151" spans="1:13" ht="69" customHeight="1" x14ac:dyDescent="0.4">
      <c r="A151" s="373" t="s">
        <v>840</v>
      </c>
      <c r="B151" s="273" t="s">
        <v>1410</v>
      </c>
      <c r="C151" s="382" t="s">
        <v>1511</v>
      </c>
      <c r="D151" s="570" t="s">
        <v>1512</v>
      </c>
      <c r="E151" s="509" t="s">
        <v>1396</v>
      </c>
      <c r="F151" s="236" t="s">
        <v>1513</v>
      </c>
      <c r="G151" s="260" t="s">
        <v>147</v>
      </c>
      <c r="H151" s="263" t="s">
        <v>1514</v>
      </c>
      <c r="I151" s="567" t="s">
        <v>1363</v>
      </c>
      <c r="J151" s="374" t="str">
        <f t="shared" si="1"/>
        <v>FY2016</v>
      </c>
      <c r="K151" s="239">
        <v>42566</v>
      </c>
      <c r="L151" s="380">
        <v>3477</v>
      </c>
      <c r="M151" s="265" t="s">
        <v>894</v>
      </c>
    </row>
    <row r="152" spans="1:13" ht="69" customHeight="1" x14ac:dyDescent="0.4">
      <c r="A152" s="373" t="s">
        <v>840</v>
      </c>
      <c r="B152" s="273" t="s">
        <v>1410</v>
      </c>
      <c r="C152" s="382" t="s">
        <v>1515</v>
      </c>
      <c r="D152" s="570" t="s">
        <v>1516</v>
      </c>
      <c r="E152" s="509" t="s">
        <v>1517</v>
      </c>
      <c r="F152" s="236" t="s">
        <v>1518</v>
      </c>
      <c r="G152" s="260" t="s">
        <v>147</v>
      </c>
      <c r="H152" s="510" t="s">
        <v>1519</v>
      </c>
      <c r="I152" s="567" t="s">
        <v>1363</v>
      </c>
      <c r="J152" s="374" t="str">
        <f t="shared" si="1"/>
        <v>FY2016</v>
      </c>
      <c r="K152" s="239">
        <v>42566</v>
      </c>
      <c r="L152" s="380">
        <v>591</v>
      </c>
      <c r="M152" s="265" t="s">
        <v>894</v>
      </c>
    </row>
    <row r="153" spans="1:13" ht="69" customHeight="1" x14ac:dyDescent="0.4">
      <c r="A153" s="373" t="s">
        <v>840</v>
      </c>
      <c r="B153" s="273" t="s">
        <v>1520</v>
      </c>
      <c r="C153" s="382" t="s">
        <v>1521</v>
      </c>
      <c r="D153" s="570" t="s">
        <v>1522</v>
      </c>
      <c r="E153" s="509" t="s">
        <v>1396</v>
      </c>
      <c r="F153" s="236" t="s">
        <v>1523</v>
      </c>
      <c r="G153" s="260" t="s">
        <v>147</v>
      </c>
      <c r="H153" s="254" t="s">
        <v>1524</v>
      </c>
      <c r="I153" s="567" t="s">
        <v>1363</v>
      </c>
      <c r="J153" s="374" t="str">
        <f t="shared" si="1"/>
        <v>FY2016</v>
      </c>
      <c r="K153" s="239">
        <v>42548</v>
      </c>
      <c r="L153" s="380">
        <v>1220</v>
      </c>
      <c r="M153" s="265" t="s">
        <v>894</v>
      </c>
    </row>
    <row r="154" spans="1:13" ht="69" customHeight="1" x14ac:dyDescent="0.4">
      <c r="A154" s="373" t="s">
        <v>840</v>
      </c>
      <c r="B154" s="273" t="s">
        <v>1316</v>
      </c>
      <c r="C154" s="273" t="s">
        <v>1303</v>
      </c>
      <c r="D154" s="575" t="s">
        <v>1525</v>
      </c>
      <c r="E154" s="509" t="s">
        <v>1526</v>
      </c>
      <c r="F154" s="236" t="s">
        <v>1429</v>
      </c>
      <c r="G154" s="260" t="s">
        <v>1527</v>
      </c>
      <c r="H154" s="263" t="s">
        <v>237</v>
      </c>
      <c r="I154" s="567" t="s">
        <v>1363</v>
      </c>
      <c r="J154" s="374" t="str">
        <f t="shared" ref="J154:J217" si="2">RIGHT(I154, 6)</f>
        <v>FY2016</v>
      </c>
      <c r="K154" s="239">
        <v>42548</v>
      </c>
      <c r="L154" s="376" t="s">
        <v>1528</v>
      </c>
      <c r="M154" s="265" t="s">
        <v>841</v>
      </c>
    </row>
    <row r="155" spans="1:13" ht="69" customHeight="1" x14ac:dyDescent="0.4">
      <c r="A155" s="373" t="s">
        <v>840</v>
      </c>
      <c r="B155" s="273" t="s">
        <v>1520</v>
      </c>
      <c r="C155" s="382" t="s">
        <v>1529</v>
      </c>
      <c r="D155" s="570" t="s">
        <v>1530</v>
      </c>
      <c r="E155" s="509" t="s">
        <v>1531</v>
      </c>
      <c r="F155" s="236" t="s">
        <v>745</v>
      </c>
      <c r="G155" s="260" t="s">
        <v>147</v>
      </c>
      <c r="H155" s="263" t="s">
        <v>1532</v>
      </c>
      <c r="I155" s="567" t="s">
        <v>1363</v>
      </c>
      <c r="J155" s="374" t="str">
        <f t="shared" si="2"/>
        <v>FY2016</v>
      </c>
      <c r="K155" s="239">
        <v>42548</v>
      </c>
      <c r="L155" s="380">
        <v>738</v>
      </c>
      <c r="M155" s="265" t="s">
        <v>894</v>
      </c>
    </row>
    <row r="156" spans="1:13" ht="69" customHeight="1" x14ac:dyDescent="0.4">
      <c r="A156" s="379" t="s">
        <v>1104</v>
      </c>
      <c r="B156" s="273" t="s">
        <v>1267</v>
      </c>
      <c r="C156" s="273" t="s">
        <v>1303</v>
      </c>
      <c r="D156" s="570" t="s">
        <v>1533</v>
      </c>
      <c r="E156" s="509" t="s">
        <v>233</v>
      </c>
      <c r="F156" s="269" t="s">
        <v>1495</v>
      </c>
      <c r="G156" s="260" t="s">
        <v>1534</v>
      </c>
      <c r="H156" s="510" t="s">
        <v>152</v>
      </c>
      <c r="I156" s="567" t="s">
        <v>1535</v>
      </c>
      <c r="J156" s="374" t="str">
        <f t="shared" si="2"/>
        <v>FY2015</v>
      </c>
      <c r="K156" s="239" t="s">
        <v>1536</v>
      </c>
      <c r="L156" s="384">
        <v>86520</v>
      </c>
      <c r="M156" s="240" t="s">
        <v>894</v>
      </c>
    </row>
    <row r="157" spans="1:13" ht="69" customHeight="1" x14ac:dyDescent="0.4">
      <c r="A157" s="373" t="s">
        <v>840</v>
      </c>
      <c r="B157" s="273" t="s">
        <v>1254</v>
      </c>
      <c r="C157" s="273" t="s">
        <v>1303</v>
      </c>
      <c r="D157" s="570" t="s">
        <v>1537</v>
      </c>
      <c r="E157" s="369" t="s">
        <v>145</v>
      </c>
      <c r="F157" s="236" t="s">
        <v>1538</v>
      </c>
      <c r="G157" s="260" t="s">
        <v>1458</v>
      </c>
      <c r="H157" s="263" t="s">
        <v>1539</v>
      </c>
      <c r="I157" s="567" t="s">
        <v>1540</v>
      </c>
      <c r="J157" s="374" t="str">
        <f t="shared" si="2"/>
        <v>FY2015</v>
      </c>
      <c r="K157" s="239">
        <v>42381</v>
      </c>
      <c r="L157" s="380">
        <v>40527</v>
      </c>
      <c r="M157" s="265" t="s">
        <v>894</v>
      </c>
    </row>
    <row r="158" spans="1:13" ht="69" customHeight="1" x14ac:dyDescent="0.4">
      <c r="A158" s="373" t="s">
        <v>840</v>
      </c>
      <c r="B158" s="273" t="s">
        <v>1416</v>
      </c>
      <c r="C158" s="382" t="s">
        <v>1541</v>
      </c>
      <c r="D158" s="570" t="s">
        <v>1542</v>
      </c>
      <c r="E158" s="369" t="s">
        <v>444</v>
      </c>
      <c r="F158" s="236" t="s">
        <v>1543</v>
      </c>
      <c r="G158" s="263" t="s">
        <v>1458</v>
      </c>
      <c r="H158" s="263" t="s">
        <v>185</v>
      </c>
      <c r="I158" s="567" t="s">
        <v>1540</v>
      </c>
      <c r="J158" s="374" t="str">
        <f t="shared" si="2"/>
        <v>FY2015</v>
      </c>
      <c r="K158" s="239">
        <v>42381</v>
      </c>
      <c r="L158" s="380">
        <v>104</v>
      </c>
      <c r="M158" s="265" t="s">
        <v>894</v>
      </c>
    </row>
    <row r="159" spans="1:13" ht="69" customHeight="1" x14ac:dyDescent="0.4">
      <c r="A159" s="373" t="s">
        <v>840</v>
      </c>
      <c r="B159" s="273" t="s">
        <v>1544</v>
      </c>
      <c r="C159" s="382" t="s">
        <v>1545</v>
      </c>
      <c r="D159" s="570" t="s">
        <v>1546</v>
      </c>
      <c r="E159" s="369" t="s">
        <v>233</v>
      </c>
      <c r="F159" s="236" t="s">
        <v>961</v>
      </c>
      <c r="G159" s="260" t="s">
        <v>1547</v>
      </c>
      <c r="H159" s="263" t="s">
        <v>185</v>
      </c>
      <c r="I159" s="567" t="s">
        <v>1540</v>
      </c>
      <c r="J159" s="374" t="str">
        <f t="shared" si="2"/>
        <v>FY2015</v>
      </c>
      <c r="K159" s="239">
        <v>42381</v>
      </c>
      <c r="L159" s="380">
        <v>917</v>
      </c>
      <c r="M159" s="265" t="s">
        <v>894</v>
      </c>
    </row>
    <row r="160" spans="1:13" ht="69" customHeight="1" x14ac:dyDescent="0.4">
      <c r="A160" s="373" t="s">
        <v>840</v>
      </c>
      <c r="B160" s="273" t="s">
        <v>1548</v>
      </c>
      <c r="C160" s="273" t="s">
        <v>1528</v>
      </c>
      <c r="D160" s="561" t="s">
        <v>1549</v>
      </c>
      <c r="E160" s="509" t="s">
        <v>430</v>
      </c>
      <c r="F160" s="269" t="s">
        <v>1538</v>
      </c>
      <c r="G160" s="263" t="s">
        <v>1550</v>
      </c>
      <c r="H160" s="263" t="s">
        <v>1551</v>
      </c>
      <c r="I160" s="567" t="s">
        <v>1540</v>
      </c>
      <c r="J160" s="374" t="str">
        <f t="shared" si="2"/>
        <v>FY2015</v>
      </c>
      <c r="K160" s="272">
        <v>42381</v>
      </c>
      <c r="L160" s="384">
        <v>16528</v>
      </c>
      <c r="M160" s="240" t="s">
        <v>1198</v>
      </c>
    </row>
    <row r="161" spans="1:13" ht="69" customHeight="1" x14ac:dyDescent="0.4">
      <c r="A161" s="373" t="s">
        <v>840</v>
      </c>
      <c r="B161" s="273" t="s">
        <v>2248</v>
      </c>
      <c r="C161" s="382" t="s">
        <v>2028</v>
      </c>
      <c r="D161" s="570" t="s">
        <v>2444</v>
      </c>
      <c r="E161" s="369" t="s">
        <v>430</v>
      </c>
      <c r="F161" s="236" t="s">
        <v>1538</v>
      </c>
      <c r="G161" s="260" t="s">
        <v>1458</v>
      </c>
      <c r="H161" s="263" t="s">
        <v>185</v>
      </c>
      <c r="I161" s="567" t="s">
        <v>1540</v>
      </c>
      <c r="J161" s="374" t="str">
        <f t="shared" si="2"/>
        <v>FY2015</v>
      </c>
      <c r="K161" s="239">
        <v>42381</v>
      </c>
      <c r="L161" s="380">
        <v>630</v>
      </c>
      <c r="M161" s="265" t="s">
        <v>894</v>
      </c>
    </row>
    <row r="162" spans="1:13" ht="69" customHeight="1" x14ac:dyDescent="0.4">
      <c r="A162" s="373" t="s">
        <v>840</v>
      </c>
      <c r="B162" s="273" t="s">
        <v>1385</v>
      </c>
      <c r="C162" s="382" t="s">
        <v>1553</v>
      </c>
      <c r="D162" s="570" t="s">
        <v>959</v>
      </c>
      <c r="E162" s="369" t="s">
        <v>509</v>
      </c>
      <c r="F162" s="236" t="s">
        <v>961</v>
      </c>
      <c r="G162" s="263" t="s">
        <v>1458</v>
      </c>
      <c r="H162" s="263" t="s">
        <v>185</v>
      </c>
      <c r="I162" s="567" t="s">
        <v>1540</v>
      </c>
      <c r="J162" s="374" t="str">
        <f t="shared" si="2"/>
        <v>FY2015</v>
      </c>
      <c r="K162" s="239">
        <v>42381</v>
      </c>
      <c r="L162" s="380">
        <v>11221</v>
      </c>
      <c r="M162" s="265" t="s">
        <v>894</v>
      </c>
    </row>
    <row r="163" spans="1:13" ht="69" customHeight="1" x14ac:dyDescent="0.4">
      <c r="A163" s="373" t="s">
        <v>840</v>
      </c>
      <c r="B163" s="273" t="s">
        <v>1385</v>
      </c>
      <c r="C163" s="382" t="s">
        <v>1554</v>
      </c>
      <c r="D163" s="570" t="s">
        <v>1555</v>
      </c>
      <c r="E163" s="369" t="s">
        <v>145</v>
      </c>
      <c r="F163" s="236" t="s">
        <v>1362</v>
      </c>
      <c r="G163" s="260" t="s">
        <v>147</v>
      </c>
      <c r="H163" s="263" t="s">
        <v>195</v>
      </c>
      <c r="I163" s="567" t="s">
        <v>1540</v>
      </c>
      <c r="J163" s="374" t="str">
        <f t="shared" si="2"/>
        <v>FY2015</v>
      </c>
      <c r="K163" s="239">
        <v>42381</v>
      </c>
      <c r="L163" s="380">
        <v>578</v>
      </c>
      <c r="M163" s="265" t="s">
        <v>894</v>
      </c>
    </row>
    <row r="164" spans="1:13" ht="69" customHeight="1" x14ac:dyDescent="0.4">
      <c r="A164" s="373" t="s">
        <v>840</v>
      </c>
      <c r="B164" s="273" t="s">
        <v>1385</v>
      </c>
      <c r="C164" s="382" t="s">
        <v>1556</v>
      </c>
      <c r="D164" s="570" t="s">
        <v>1557</v>
      </c>
      <c r="E164" s="369" t="s">
        <v>509</v>
      </c>
      <c r="F164" s="236" t="s">
        <v>950</v>
      </c>
      <c r="G164" s="263" t="s">
        <v>1458</v>
      </c>
      <c r="H164" s="263" t="s">
        <v>1558</v>
      </c>
      <c r="I164" s="567" t="s">
        <v>1540</v>
      </c>
      <c r="J164" s="374" t="str">
        <f t="shared" si="2"/>
        <v>FY2015</v>
      </c>
      <c r="K164" s="239">
        <v>42381</v>
      </c>
      <c r="L164" s="380">
        <v>12009</v>
      </c>
      <c r="M164" s="265" t="s">
        <v>894</v>
      </c>
    </row>
    <row r="165" spans="1:13" ht="69" customHeight="1" x14ac:dyDescent="0.4">
      <c r="A165" s="373" t="s">
        <v>840</v>
      </c>
      <c r="B165" s="273" t="s">
        <v>1416</v>
      </c>
      <c r="C165" s="382" t="s">
        <v>1559</v>
      </c>
      <c r="D165" s="570" t="s">
        <v>1560</v>
      </c>
      <c r="E165" s="369" t="s">
        <v>233</v>
      </c>
      <c r="F165" s="236" t="s">
        <v>1561</v>
      </c>
      <c r="G165" s="260" t="s">
        <v>147</v>
      </c>
      <c r="H165" s="263" t="s">
        <v>398</v>
      </c>
      <c r="I165" s="567" t="s">
        <v>1540</v>
      </c>
      <c r="J165" s="374" t="str">
        <f t="shared" si="2"/>
        <v>FY2015</v>
      </c>
      <c r="K165" s="239">
        <v>42381</v>
      </c>
      <c r="L165" s="380">
        <v>148</v>
      </c>
      <c r="M165" s="265" t="s">
        <v>894</v>
      </c>
    </row>
    <row r="166" spans="1:13" ht="69" customHeight="1" x14ac:dyDescent="0.4">
      <c r="A166" s="373" t="s">
        <v>840</v>
      </c>
      <c r="B166" s="273" t="s">
        <v>1520</v>
      </c>
      <c r="C166" s="382" t="s">
        <v>1562</v>
      </c>
      <c r="D166" s="570" t="s">
        <v>1563</v>
      </c>
      <c r="E166" s="369" t="s">
        <v>553</v>
      </c>
      <c r="F166" s="236" t="s">
        <v>1564</v>
      </c>
      <c r="G166" s="260" t="s">
        <v>147</v>
      </c>
      <c r="H166" s="260" t="s">
        <v>1565</v>
      </c>
      <c r="I166" s="567" t="s">
        <v>1540</v>
      </c>
      <c r="J166" s="374" t="str">
        <f t="shared" si="2"/>
        <v>FY2015</v>
      </c>
      <c r="K166" s="239">
        <v>42381</v>
      </c>
      <c r="L166" s="380">
        <v>3289</v>
      </c>
      <c r="M166" s="265" t="s">
        <v>894</v>
      </c>
    </row>
    <row r="167" spans="1:13" ht="69" customHeight="1" x14ac:dyDescent="0.4">
      <c r="A167" s="373" t="s">
        <v>840</v>
      </c>
      <c r="B167" s="273" t="s">
        <v>1566</v>
      </c>
      <c r="C167" s="382" t="s">
        <v>1567</v>
      </c>
      <c r="D167" s="570" t="s">
        <v>1013</v>
      </c>
      <c r="E167" s="369" t="s">
        <v>560</v>
      </c>
      <c r="F167" s="236" t="s">
        <v>1568</v>
      </c>
      <c r="G167" s="260" t="s">
        <v>147</v>
      </c>
      <c r="H167" s="260" t="s">
        <v>1569</v>
      </c>
      <c r="I167" s="567" t="s">
        <v>1540</v>
      </c>
      <c r="J167" s="374" t="str">
        <f t="shared" si="2"/>
        <v>FY2015</v>
      </c>
      <c r="K167" s="239">
        <v>42381</v>
      </c>
      <c r="L167" s="380">
        <v>3744</v>
      </c>
      <c r="M167" s="265" t="s">
        <v>894</v>
      </c>
    </row>
    <row r="168" spans="1:13" ht="69" customHeight="1" x14ac:dyDescent="0.4">
      <c r="A168" s="373" t="s">
        <v>840</v>
      </c>
      <c r="B168" s="273" t="s">
        <v>1267</v>
      </c>
      <c r="C168" s="273" t="s">
        <v>1528</v>
      </c>
      <c r="D168" s="570" t="s">
        <v>1570</v>
      </c>
      <c r="E168" s="509" t="s">
        <v>560</v>
      </c>
      <c r="F168" s="269" t="s">
        <v>1571</v>
      </c>
      <c r="G168" s="260" t="s">
        <v>147</v>
      </c>
      <c r="H168" s="263" t="s">
        <v>195</v>
      </c>
      <c r="I168" s="567" t="s">
        <v>1540</v>
      </c>
      <c r="J168" s="374" t="str">
        <f t="shared" si="2"/>
        <v>FY2015</v>
      </c>
      <c r="K168" s="239">
        <v>42381</v>
      </c>
      <c r="L168" s="384">
        <v>305</v>
      </c>
      <c r="M168" s="240" t="s">
        <v>894</v>
      </c>
    </row>
    <row r="169" spans="1:13" ht="69" customHeight="1" x14ac:dyDescent="0.4">
      <c r="A169" s="373" t="s">
        <v>840</v>
      </c>
      <c r="B169" s="273" t="s">
        <v>1267</v>
      </c>
      <c r="C169" s="273" t="s">
        <v>1129</v>
      </c>
      <c r="D169" s="570" t="s">
        <v>1572</v>
      </c>
      <c r="E169" s="509" t="s">
        <v>1517</v>
      </c>
      <c r="F169" s="269" t="s">
        <v>1513</v>
      </c>
      <c r="G169" s="260" t="s">
        <v>147</v>
      </c>
      <c r="H169" s="260" t="s">
        <v>1477</v>
      </c>
      <c r="I169" s="567" t="s">
        <v>1540</v>
      </c>
      <c r="J169" s="374" t="str">
        <f t="shared" si="2"/>
        <v>FY2015</v>
      </c>
      <c r="K169" s="239">
        <v>42381</v>
      </c>
      <c r="L169" s="384">
        <v>3297</v>
      </c>
      <c r="M169" s="240" t="s">
        <v>894</v>
      </c>
    </row>
    <row r="170" spans="1:13" ht="69" customHeight="1" x14ac:dyDescent="0.4">
      <c r="A170" s="373" t="s">
        <v>840</v>
      </c>
      <c r="B170" s="273" t="s">
        <v>1544</v>
      </c>
      <c r="C170" s="382" t="s">
        <v>1573</v>
      </c>
      <c r="D170" s="570" t="s">
        <v>1574</v>
      </c>
      <c r="E170" s="509" t="s">
        <v>1517</v>
      </c>
      <c r="F170" s="269" t="s">
        <v>1575</v>
      </c>
      <c r="G170" s="263" t="s">
        <v>147</v>
      </c>
      <c r="H170" s="263" t="s">
        <v>1576</v>
      </c>
      <c r="I170" s="567" t="s">
        <v>1540</v>
      </c>
      <c r="J170" s="374" t="str">
        <f t="shared" si="2"/>
        <v>FY2015</v>
      </c>
      <c r="K170" s="272">
        <v>42381</v>
      </c>
      <c r="L170" s="384">
        <v>3885</v>
      </c>
      <c r="M170" s="240" t="s">
        <v>894</v>
      </c>
    </row>
    <row r="171" spans="1:13" ht="69" customHeight="1" x14ac:dyDescent="0.4">
      <c r="A171" s="373" t="s">
        <v>840</v>
      </c>
      <c r="B171" s="273" t="s">
        <v>1267</v>
      </c>
      <c r="C171" s="273" t="s">
        <v>1303</v>
      </c>
      <c r="D171" s="570" t="s">
        <v>1577</v>
      </c>
      <c r="E171" s="509" t="s">
        <v>1517</v>
      </c>
      <c r="F171" s="269" t="s">
        <v>1578</v>
      </c>
      <c r="G171" s="260" t="s">
        <v>147</v>
      </c>
      <c r="H171" s="260" t="s">
        <v>1579</v>
      </c>
      <c r="I171" s="567" t="s">
        <v>1540</v>
      </c>
      <c r="J171" s="374" t="str">
        <f t="shared" si="2"/>
        <v>FY2015</v>
      </c>
      <c r="K171" s="239">
        <v>42381</v>
      </c>
      <c r="L171" s="384">
        <v>311</v>
      </c>
      <c r="M171" s="240" t="s">
        <v>894</v>
      </c>
    </row>
    <row r="172" spans="1:13" ht="69" customHeight="1" x14ac:dyDescent="0.4">
      <c r="A172" s="373" t="s">
        <v>840</v>
      </c>
      <c r="B172" s="273" t="s">
        <v>1316</v>
      </c>
      <c r="C172" s="273" t="s">
        <v>1303</v>
      </c>
      <c r="D172" s="575" t="s">
        <v>1580</v>
      </c>
      <c r="E172" s="509" t="s">
        <v>1531</v>
      </c>
      <c r="F172" s="269" t="s">
        <v>1429</v>
      </c>
      <c r="G172" s="260" t="s">
        <v>147</v>
      </c>
      <c r="H172" s="260" t="s">
        <v>1581</v>
      </c>
      <c r="I172" s="567" t="s">
        <v>1540</v>
      </c>
      <c r="J172" s="374" t="str">
        <f t="shared" si="2"/>
        <v>FY2015</v>
      </c>
      <c r="K172" s="239">
        <v>42381</v>
      </c>
      <c r="L172" s="528" t="s">
        <v>1582</v>
      </c>
      <c r="M172" s="240" t="s">
        <v>841</v>
      </c>
    </row>
    <row r="173" spans="1:13" ht="69" customHeight="1" x14ac:dyDescent="0.4">
      <c r="A173" s="373" t="s">
        <v>840</v>
      </c>
      <c r="B173" s="273" t="s">
        <v>1544</v>
      </c>
      <c r="C173" s="382" t="s">
        <v>1583</v>
      </c>
      <c r="D173" s="570" t="s">
        <v>1584</v>
      </c>
      <c r="E173" s="509" t="s">
        <v>1517</v>
      </c>
      <c r="F173" s="236" t="s">
        <v>1585</v>
      </c>
      <c r="G173" s="263" t="s">
        <v>1458</v>
      </c>
      <c r="H173" s="263" t="s">
        <v>185</v>
      </c>
      <c r="I173" s="567" t="s">
        <v>1540</v>
      </c>
      <c r="J173" s="374" t="str">
        <f t="shared" si="2"/>
        <v>FY2015</v>
      </c>
      <c r="K173" s="239">
        <v>42381</v>
      </c>
      <c r="L173" s="380">
        <v>125</v>
      </c>
      <c r="M173" s="265" t="s">
        <v>894</v>
      </c>
    </row>
    <row r="174" spans="1:13" ht="69" customHeight="1" x14ac:dyDescent="0.4">
      <c r="A174" s="373" t="s">
        <v>840</v>
      </c>
      <c r="B174" s="273" t="s">
        <v>1586</v>
      </c>
      <c r="C174" s="273" t="s">
        <v>1587</v>
      </c>
      <c r="D174" s="561" t="s">
        <v>1588</v>
      </c>
      <c r="E174" s="509" t="s">
        <v>207</v>
      </c>
      <c r="F174" s="269" t="s">
        <v>1589</v>
      </c>
      <c r="G174" s="260" t="s">
        <v>1590</v>
      </c>
      <c r="H174" s="263" t="s">
        <v>1591</v>
      </c>
      <c r="I174" s="567" t="s">
        <v>1540</v>
      </c>
      <c r="J174" s="374" t="str">
        <f t="shared" si="2"/>
        <v>FY2015</v>
      </c>
      <c r="K174" s="239">
        <v>42334</v>
      </c>
      <c r="L174" s="384">
        <v>7940</v>
      </c>
      <c r="M174" s="240" t="s">
        <v>841</v>
      </c>
    </row>
    <row r="175" spans="1:13" ht="69" customHeight="1" x14ac:dyDescent="0.4">
      <c r="A175" s="373" t="s">
        <v>840</v>
      </c>
      <c r="B175" s="273" t="s">
        <v>1267</v>
      </c>
      <c r="C175" s="273" t="s">
        <v>1582</v>
      </c>
      <c r="D175" s="570" t="s">
        <v>1592</v>
      </c>
      <c r="E175" s="369" t="s">
        <v>560</v>
      </c>
      <c r="F175" s="236" t="s">
        <v>1593</v>
      </c>
      <c r="G175" s="260" t="s">
        <v>1594</v>
      </c>
      <c r="H175" s="263" t="s">
        <v>407</v>
      </c>
      <c r="I175" s="567" t="s">
        <v>1540</v>
      </c>
      <c r="J175" s="374" t="str">
        <f t="shared" si="2"/>
        <v>FY2015</v>
      </c>
      <c r="K175" s="239">
        <v>42327</v>
      </c>
      <c r="L175" s="380">
        <v>7414</v>
      </c>
      <c r="M175" s="265" t="s">
        <v>894</v>
      </c>
    </row>
    <row r="176" spans="1:13" ht="69" customHeight="1" x14ac:dyDescent="0.4">
      <c r="A176" s="373" t="s">
        <v>840</v>
      </c>
      <c r="B176" s="273" t="s">
        <v>1566</v>
      </c>
      <c r="C176" s="382" t="s">
        <v>1595</v>
      </c>
      <c r="D176" s="570" t="s">
        <v>1596</v>
      </c>
      <c r="E176" s="369" t="s">
        <v>233</v>
      </c>
      <c r="F176" s="236" t="s">
        <v>1597</v>
      </c>
      <c r="G176" s="260" t="s">
        <v>1598</v>
      </c>
      <c r="H176" s="263" t="s">
        <v>407</v>
      </c>
      <c r="I176" s="567" t="s">
        <v>1540</v>
      </c>
      <c r="J176" s="374" t="str">
        <f t="shared" si="2"/>
        <v>FY2015</v>
      </c>
      <c r="K176" s="239">
        <v>42317</v>
      </c>
      <c r="L176" s="380">
        <v>21793</v>
      </c>
      <c r="M176" s="265" t="s">
        <v>894</v>
      </c>
    </row>
    <row r="177" spans="1:13" ht="69" customHeight="1" x14ac:dyDescent="0.4">
      <c r="A177" s="373" t="s">
        <v>840</v>
      </c>
      <c r="B177" s="273" t="s">
        <v>1520</v>
      </c>
      <c r="C177" s="382" t="s">
        <v>1599</v>
      </c>
      <c r="D177" s="570" t="s">
        <v>1600</v>
      </c>
      <c r="E177" s="509" t="s">
        <v>1531</v>
      </c>
      <c r="F177" s="269" t="s">
        <v>1601</v>
      </c>
      <c r="G177" s="260" t="s">
        <v>147</v>
      </c>
      <c r="H177" s="260" t="s">
        <v>1602</v>
      </c>
      <c r="I177" s="567" t="s">
        <v>1540</v>
      </c>
      <c r="J177" s="374" t="str">
        <f t="shared" si="2"/>
        <v>FY2015</v>
      </c>
      <c r="K177" s="239">
        <v>42296</v>
      </c>
      <c r="L177" s="384">
        <v>3825</v>
      </c>
      <c r="M177" s="265" t="s">
        <v>894</v>
      </c>
    </row>
    <row r="178" spans="1:13" ht="69" customHeight="1" x14ac:dyDescent="0.4">
      <c r="A178" s="373" t="s">
        <v>840</v>
      </c>
      <c r="B178" s="273" t="s">
        <v>1385</v>
      </c>
      <c r="C178" s="382" t="s">
        <v>1603</v>
      </c>
      <c r="D178" s="570" t="s">
        <v>1604</v>
      </c>
      <c r="E178" s="369" t="s">
        <v>145</v>
      </c>
      <c r="F178" s="236" t="s">
        <v>1605</v>
      </c>
      <c r="G178" s="263" t="s">
        <v>1458</v>
      </c>
      <c r="H178" s="260" t="s">
        <v>1606</v>
      </c>
      <c r="I178" s="567" t="s">
        <v>1540</v>
      </c>
      <c r="J178" s="374" t="str">
        <f t="shared" si="2"/>
        <v>FY2015</v>
      </c>
      <c r="K178" s="239">
        <v>42185</v>
      </c>
      <c r="L178" s="380">
        <v>226</v>
      </c>
      <c r="M178" s="265" t="s">
        <v>894</v>
      </c>
    </row>
    <row r="179" spans="1:13" ht="69" customHeight="1" x14ac:dyDescent="0.4">
      <c r="A179" s="373" t="s">
        <v>840</v>
      </c>
      <c r="B179" s="273" t="s">
        <v>1385</v>
      </c>
      <c r="C179" s="382" t="s">
        <v>1607</v>
      </c>
      <c r="D179" s="570" t="s">
        <v>1608</v>
      </c>
      <c r="E179" s="369" t="s">
        <v>145</v>
      </c>
      <c r="F179" s="236" t="s">
        <v>1609</v>
      </c>
      <c r="G179" s="260" t="s">
        <v>147</v>
      </c>
      <c r="H179" s="260" t="s">
        <v>1610</v>
      </c>
      <c r="I179" s="567" t="s">
        <v>1540</v>
      </c>
      <c r="J179" s="374" t="str">
        <f t="shared" si="2"/>
        <v>FY2015</v>
      </c>
      <c r="K179" s="239">
        <v>42185</v>
      </c>
      <c r="L179" s="380">
        <v>437</v>
      </c>
      <c r="M179" s="265" t="s">
        <v>894</v>
      </c>
    </row>
    <row r="180" spans="1:13" ht="69" customHeight="1" x14ac:dyDescent="0.4">
      <c r="A180" s="373" t="s">
        <v>840</v>
      </c>
      <c r="B180" s="273" t="s">
        <v>1371</v>
      </c>
      <c r="C180" s="382" t="s">
        <v>2363</v>
      </c>
      <c r="D180" s="570" t="s">
        <v>1611</v>
      </c>
      <c r="E180" s="369" t="s">
        <v>444</v>
      </c>
      <c r="F180" s="236" t="s">
        <v>1612</v>
      </c>
      <c r="G180" s="260" t="s">
        <v>147</v>
      </c>
      <c r="H180" s="260" t="s">
        <v>1613</v>
      </c>
      <c r="I180" s="567" t="s">
        <v>1540</v>
      </c>
      <c r="J180" s="374" t="str">
        <f t="shared" si="2"/>
        <v>FY2015</v>
      </c>
      <c r="K180" s="239">
        <v>42185</v>
      </c>
      <c r="L180" s="380">
        <v>599</v>
      </c>
      <c r="M180" s="265" t="s">
        <v>894</v>
      </c>
    </row>
    <row r="181" spans="1:13" ht="69" customHeight="1" x14ac:dyDescent="0.4">
      <c r="A181" s="373" t="s">
        <v>840</v>
      </c>
      <c r="B181" s="273" t="s">
        <v>1385</v>
      </c>
      <c r="C181" s="382" t="s">
        <v>1614</v>
      </c>
      <c r="D181" s="570" t="s">
        <v>881</v>
      </c>
      <c r="E181" s="369" t="s">
        <v>233</v>
      </c>
      <c r="F181" s="236" t="s">
        <v>1615</v>
      </c>
      <c r="G181" s="260" t="s">
        <v>147</v>
      </c>
      <c r="H181" s="263" t="s">
        <v>195</v>
      </c>
      <c r="I181" s="567" t="s">
        <v>1540</v>
      </c>
      <c r="J181" s="374" t="str">
        <f t="shared" si="2"/>
        <v>FY2015</v>
      </c>
      <c r="K181" s="239">
        <v>42185</v>
      </c>
      <c r="L181" s="380">
        <v>398</v>
      </c>
      <c r="M181" s="265" t="s">
        <v>894</v>
      </c>
    </row>
    <row r="182" spans="1:13" ht="69" customHeight="1" x14ac:dyDescent="0.4">
      <c r="A182" s="373" t="s">
        <v>840</v>
      </c>
      <c r="B182" s="273" t="s">
        <v>1267</v>
      </c>
      <c r="C182" s="273" t="s">
        <v>1528</v>
      </c>
      <c r="D182" s="570" t="s">
        <v>1616</v>
      </c>
      <c r="E182" s="369" t="s">
        <v>233</v>
      </c>
      <c r="F182" s="236" t="s">
        <v>1617</v>
      </c>
      <c r="G182" s="260" t="s">
        <v>147</v>
      </c>
      <c r="H182" s="260" t="s">
        <v>1613</v>
      </c>
      <c r="I182" s="567" t="s">
        <v>1540</v>
      </c>
      <c r="J182" s="374" t="str">
        <f t="shared" si="2"/>
        <v>FY2015</v>
      </c>
      <c r="K182" s="239">
        <v>42185</v>
      </c>
      <c r="L182" s="380">
        <v>543</v>
      </c>
      <c r="M182" s="265" t="s">
        <v>894</v>
      </c>
    </row>
    <row r="183" spans="1:13" ht="69" customHeight="1" x14ac:dyDescent="0.4">
      <c r="A183" s="373" t="s">
        <v>840</v>
      </c>
      <c r="B183" s="273" t="s">
        <v>1385</v>
      </c>
      <c r="C183" s="382" t="s">
        <v>1618</v>
      </c>
      <c r="D183" s="570" t="s">
        <v>1619</v>
      </c>
      <c r="E183" s="369" t="s">
        <v>233</v>
      </c>
      <c r="F183" s="236" t="s">
        <v>1620</v>
      </c>
      <c r="G183" s="260" t="s">
        <v>1594</v>
      </c>
      <c r="H183" s="263" t="s">
        <v>398</v>
      </c>
      <c r="I183" s="567" t="s">
        <v>1540</v>
      </c>
      <c r="J183" s="374" t="str">
        <f t="shared" si="2"/>
        <v>FY2015</v>
      </c>
      <c r="K183" s="239">
        <v>42185</v>
      </c>
      <c r="L183" s="380">
        <v>816</v>
      </c>
      <c r="M183" s="265" t="s">
        <v>894</v>
      </c>
    </row>
    <row r="184" spans="1:13" ht="69" customHeight="1" x14ac:dyDescent="0.4">
      <c r="A184" s="373" t="s">
        <v>840</v>
      </c>
      <c r="B184" s="273" t="s">
        <v>2295</v>
      </c>
      <c r="C184" s="382" t="s">
        <v>2043</v>
      </c>
      <c r="D184" s="570" t="s">
        <v>1621</v>
      </c>
      <c r="E184" s="369" t="s">
        <v>478</v>
      </c>
      <c r="F184" s="236" t="s">
        <v>1622</v>
      </c>
      <c r="G184" s="260" t="s">
        <v>1590</v>
      </c>
      <c r="H184" s="260" t="s">
        <v>1623</v>
      </c>
      <c r="I184" s="567" t="s">
        <v>1540</v>
      </c>
      <c r="J184" s="374" t="str">
        <f t="shared" si="2"/>
        <v>FY2015</v>
      </c>
      <c r="K184" s="239">
        <v>42185</v>
      </c>
      <c r="L184" s="380">
        <v>4732</v>
      </c>
      <c r="M184" s="265" t="s">
        <v>894</v>
      </c>
    </row>
    <row r="185" spans="1:13" ht="69" customHeight="1" x14ac:dyDescent="0.4">
      <c r="A185" s="373" t="s">
        <v>840</v>
      </c>
      <c r="B185" s="273" t="s">
        <v>1267</v>
      </c>
      <c r="C185" s="273" t="s">
        <v>1582</v>
      </c>
      <c r="D185" s="570" t="s">
        <v>1624</v>
      </c>
      <c r="E185" s="369" t="s">
        <v>560</v>
      </c>
      <c r="F185" s="236" t="s">
        <v>1625</v>
      </c>
      <c r="G185" s="260" t="s">
        <v>147</v>
      </c>
      <c r="H185" s="260" t="s">
        <v>1602</v>
      </c>
      <c r="I185" s="567" t="s">
        <v>1540</v>
      </c>
      <c r="J185" s="374" t="str">
        <f t="shared" si="2"/>
        <v>FY2015</v>
      </c>
      <c r="K185" s="239">
        <v>42185</v>
      </c>
      <c r="L185" s="380">
        <v>223</v>
      </c>
      <c r="M185" s="265" t="s">
        <v>894</v>
      </c>
    </row>
    <row r="186" spans="1:13" ht="69" customHeight="1" x14ac:dyDescent="0.4">
      <c r="A186" s="373" t="s">
        <v>840</v>
      </c>
      <c r="B186" s="273" t="s">
        <v>1316</v>
      </c>
      <c r="C186" s="273" t="s">
        <v>1152</v>
      </c>
      <c r="D186" s="575" t="s">
        <v>1626</v>
      </c>
      <c r="E186" s="509" t="s">
        <v>233</v>
      </c>
      <c r="F186" s="269" t="s">
        <v>1272</v>
      </c>
      <c r="G186" s="263" t="s">
        <v>1627</v>
      </c>
      <c r="H186" s="263"/>
      <c r="I186" s="567" t="s">
        <v>1540</v>
      </c>
      <c r="J186" s="374" t="str">
        <f t="shared" si="2"/>
        <v>FY2015</v>
      </c>
      <c r="K186" s="272">
        <v>42185</v>
      </c>
      <c r="L186" s="376" t="s">
        <v>1152</v>
      </c>
      <c r="M186" s="240" t="s">
        <v>841</v>
      </c>
    </row>
    <row r="187" spans="1:13" ht="69" customHeight="1" x14ac:dyDescent="0.4">
      <c r="A187" s="373" t="s">
        <v>840</v>
      </c>
      <c r="B187" s="273" t="s">
        <v>1316</v>
      </c>
      <c r="C187" s="273" t="s">
        <v>1587</v>
      </c>
      <c r="D187" s="578" t="s">
        <v>1628</v>
      </c>
      <c r="E187" s="369" t="s">
        <v>233</v>
      </c>
      <c r="F187" s="236" t="s">
        <v>1629</v>
      </c>
      <c r="G187" s="260" t="s">
        <v>147</v>
      </c>
      <c r="H187" s="511" t="s">
        <v>1152</v>
      </c>
      <c r="I187" s="567" t="s">
        <v>1540</v>
      </c>
      <c r="J187" s="374" t="str">
        <f t="shared" si="2"/>
        <v>FY2015</v>
      </c>
      <c r="K187" s="239">
        <v>42185</v>
      </c>
      <c r="L187" s="376" t="s">
        <v>1582</v>
      </c>
      <c r="M187" s="265" t="s">
        <v>841</v>
      </c>
    </row>
    <row r="188" spans="1:13" ht="69" customHeight="1" x14ac:dyDescent="0.4">
      <c r="A188" s="373" t="s">
        <v>840</v>
      </c>
      <c r="B188" s="273" t="s">
        <v>1385</v>
      </c>
      <c r="C188" s="382" t="s">
        <v>1630</v>
      </c>
      <c r="D188" s="570" t="s">
        <v>1631</v>
      </c>
      <c r="E188" s="369" t="s">
        <v>560</v>
      </c>
      <c r="F188" s="236" t="s">
        <v>911</v>
      </c>
      <c r="G188" s="260" t="s">
        <v>147</v>
      </c>
      <c r="H188" s="260" t="s">
        <v>1610</v>
      </c>
      <c r="I188" s="567" t="s">
        <v>1540</v>
      </c>
      <c r="J188" s="374" t="str">
        <f t="shared" si="2"/>
        <v>FY2015</v>
      </c>
      <c r="K188" s="239">
        <v>42185</v>
      </c>
      <c r="L188" s="380">
        <v>390</v>
      </c>
      <c r="M188" s="265" t="s">
        <v>894</v>
      </c>
    </row>
    <row r="189" spans="1:13" ht="69" customHeight="1" x14ac:dyDescent="0.4">
      <c r="A189" s="373" t="s">
        <v>840</v>
      </c>
      <c r="B189" s="273" t="s">
        <v>1316</v>
      </c>
      <c r="C189" s="273" t="s">
        <v>1357</v>
      </c>
      <c r="D189" s="578" t="s">
        <v>1632</v>
      </c>
      <c r="E189" s="369" t="s">
        <v>233</v>
      </c>
      <c r="F189" s="236" t="s">
        <v>1633</v>
      </c>
      <c r="G189" s="260" t="s">
        <v>1594</v>
      </c>
      <c r="H189" s="260" t="s">
        <v>1634</v>
      </c>
      <c r="I189" s="567" t="s">
        <v>1540</v>
      </c>
      <c r="J189" s="374" t="str">
        <f t="shared" si="2"/>
        <v>FY2015</v>
      </c>
      <c r="K189" s="239">
        <v>42185</v>
      </c>
      <c r="L189" s="376" t="s">
        <v>1582</v>
      </c>
      <c r="M189" s="265" t="s">
        <v>894</v>
      </c>
    </row>
    <row r="190" spans="1:13" ht="69" customHeight="1" x14ac:dyDescent="0.4">
      <c r="A190" s="373" t="s">
        <v>840</v>
      </c>
      <c r="B190" s="273" t="s">
        <v>1385</v>
      </c>
      <c r="C190" s="382" t="s">
        <v>1635</v>
      </c>
      <c r="D190" s="570" t="s">
        <v>1019</v>
      </c>
      <c r="E190" s="369" t="s">
        <v>560</v>
      </c>
      <c r="F190" s="236" t="s">
        <v>1568</v>
      </c>
      <c r="G190" s="260" t="s">
        <v>147</v>
      </c>
      <c r="H190" s="263" t="s">
        <v>195</v>
      </c>
      <c r="I190" s="567" t="s">
        <v>1540</v>
      </c>
      <c r="J190" s="374" t="str">
        <f t="shared" si="2"/>
        <v>FY2015</v>
      </c>
      <c r="K190" s="239">
        <v>42185</v>
      </c>
      <c r="L190" s="380">
        <v>365</v>
      </c>
      <c r="M190" s="265" t="s">
        <v>894</v>
      </c>
    </row>
    <row r="191" spans="1:13" ht="69" customHeight="1" x14ac:dyDescent="0.4">
      <c r="A191" s="373" t="s">
        <v>840</v>
      </c>
      <c r="B191" s="273" t="s">
        <v>1385</v>
      </c>
      <c r="C191" s="382" t="s">
        <v>1636</v>
      </c>
      <c r="D191" s="570" t="s">
        <v>1059</v>
      </c>
      <c r="E191" s="509" t="s">
        <v>1637</v>
      </c>
      <c r="F191" s="236" t="s">
        <v>1638</v>
      </c>
      <c r="G191" s="260" t="s">
        <v>147</v>
      </c>
      <c r="H191" s="260" t="s">
        <v>1477</v>
      </c>
      <c r="I191" s="567" t="s">
        <v>1540</v>
      </c>
      <c r="J191" s="374" t="str">
        <f t="shared" si="2"/>
        <v>FY2015</v>
      </c>
      <c r="K191" s="239">
        <v>42185</v>
      </c>
      <c r="L191" s="380">
        <v>935</v>
      </c>
      <c r="M191" s="265" t="s">
        <v>894</v>
      </c>
    </row>
    <row r="192" spans="1:13" ht="69" customHeight="1" x14ac:dyDescent="0.4">
      <c r="A192" s="373" t="s">
        <v>840</v>
      </c>
      <c r="B192" s="273" t="s">
        <v>1385</v>
      </c>
      <c r="C192" s="382" t="s">
        <v>1639</v>
      </c>
      <c r="D192" s="570" t="s">
        <v>1640</v>
      </c>
      <c r="E192" s="509" t="s">
        <v>1297</v>
      </c>
      <c r="F192" s="236" t="s">
        <v>1641</v>
      </c>
      <c r="G192" s="260" t="s">
        <v>147</v>
      </c>
      <c r="H192" s="260" t="s">
        <v>1477</v>
      </c>
      <c r="I192" s="567" t="s">
        <v>1540</v>
      </c>
      <c r="J192" s="374" t="str">
        <f t="shared" si="2"/>
        <v>FY2015</v>
      </c>
      <c r="K192" s="239">
        <v>42185</v>
      </c>
      <c r="L192" s="380">
        <v>147</v>
      </c>
      <c r="M192" s="265" t="s">
        <v>894</v>
      </c>
    </row>
    <row r="193" spans="1:13" ht="69" customHeight="1" x14ac:dyDescent="0.4">
      <c r="A193" s="373" t="s">
        <v>840</v>
      </c>
      <c r="B193" s="273" t="s">
        <v>1316</v>
      </c>
      <c r="C193" s="273" t="s">
        <v>1582</v>
      </c>
      <c r="D193" s="578" t="s">
        <v>1642</v>
      </c>
      <c r="E193" s="369" t="s">
        <v>542</v>
      </c>
      <c r="F193" s="236" t="s">
        <v>1643</v>
      </c>
      <c r="G193" s="263" t="s">
        <v>1644</v>
      </c>
      <c r="H193" s="260" t="s">
        <v>1645</v>
      </c>
      <c r="I193" s="567" t="s">
        <v>1540</v>
      </c>
      <c r="J193" s="374" t="str">
        <f t="shared" si="2"/>
        <v>FY2015</v>
      </c>
      <c r="K193" s="239">
        <v>42185</v>
      </c>
      <c r="L193" s="376" t="s">
        <v>1582</v>
      </c>
      <c r="M193" s="265" t="s">
        <v>894</v>
      </c>
    </row>
    <row r="194" spans="1:13" ht="69" customHeight="1" x14ac:dyDescent="0.4">
      <c r="A194" s="373" t="s">
        <v>840</v>
      </c>
      <c r="B194" s="273" t="s">
        <v>1316</v>
      </c>
      <c r="C194" s="273" t="s">
        <v>1587</v>
      </c>
      <c r="D194" s="575" t="s">
        <v>1646</v>
      </c>
      <c r="E194" s="509" t="s">
        <v>542</v>
      </c>
      <c r="F194" s="269" t="s">
        <v>1647</v>
      </c>
      <c r="G194" s="263" t="s">
        <v>147</v>
      </c>
      <c r="H194" s="263"/>
      <c r="I194" s="567" t="s">
        <v>1540</v>
      </c>
      <c r="J194" s="374" t="str">
        <f t="shared" si="2"/>
        <v>FY2015</v>
      </c>
      <c r="K194" s="272">
        <v>42185</v>
      </c>
      <c r="L194" s="376" t="s">
        <v>1648</v>
      </c>
      <c r="M194" s="240" t="s">
        <v>841</v>
      </c>
    </row>
    <row r="195" spans="1:13" ht="69" customHeight="1" x14ac:dyDescent="0.4">
      <c r="A195" s="373" t="s">
        <v>840</v>
      </c>
      <c r="B195" s="273" t="s">
        <v>1385</v>
      </c>
      <c r="C195" s="382" t="s">
        <v>1649</v>
      </c>
      <c r="D195" s="570" t="s">
        <v>1650</v>
      </c>
      <c r="E195" s="369" t="s">
        <v>560</v>
      </c>
      <c r="F195" s="236" t="s">
        <v>1651</v>
      </c>
      <c r="G195" s="263" t="s">
        <v>1652</v>
      </c>
      <c r="H195" s="263" t="s">
        <v>185</v>
      </c>
      <c r="I195" s="567" t="s">
        <v>1540</v>
      </c>
      <c r="J195" s="374" t="str">
        <f t="shared" si="2"/>
        <v>FY2015</v>
      </c>
      <c r="K195" s="239">
        <v>42185</v>
      </c>
      <c r="L195" s="380">
        <v>491</v>
      </c>
      <c r="M195" s="265" t="s">
        <v>894</v>
      </c>
    </row>
    <row r="196" spans="1:13" ht="69" customHeight="1" x14ac:dyDescent="0.4">
      <c r="A196" s="381" t="s">
        <v>902</v>
      </c>
      <c r="B196" s="273" t="s">
        <v>1316</v>
      </c>
      <c r="C196" s="273" t="s">
        <v>1587</v>
      </c>
      <c r="D196" s="578" t="s">
        <v>1653</v>
      </c>
      <c r="E196" s="369" t="s">
        <v>233</v>
      </c>
      <c r="F196" s="236" t="s">
        <v>961</v>
      </c>
      <c r="G196" s="263" t="s">
        <v>1155</v>
      </c>
      <c r="H196" s="263" t="s">
        <v>1654</v>
      </c>
      <c r="I196" s="567" t="s">
        <v>1655</v>
      </c>
      <c r="J196" s="374" t="str">
        <f t="shared" si="2"/>
        <v>FY2013</v>
      </c>
      <c r="K196" s="285" t="s">
        <v>152</v>
      </c>
      <c r="L196" s="376" t="s">
        <v>1219</v>
      </c>
      <c r="M196" s="265" t="s">
        <v>841</v>
      </c>
    </row>
    <row r="197" spans="1:13" ht="69" customHeight="1" x14ac:dyDescent="0.4">
      <c r="A197" s="381" t="s">
        <v>902</v>
      </c>
      <c r="B197" s="273" t="s">
        <v>1385</v>
      </c>
      <c r="C197" s="382" t="s">
        <v>1656</v>
      </c>
      <c r="D197" s="570" t="s">
        <v>1657</v>
      </c>
      <c r="E197" s="509" t="s">
        <v>1517</v>
      </c>
      <c r="F197" s="236" t="s">
        <v>1658</v>
      </c>
      <c r="G197" s="260" t="s">
        <v>147</v>
      </c>
      <c r="H197" s="510" t="s">
        <v>1659</v>
      </c>
      <c r="I197" s="567" t="s">
        <v>1660</v>
      </c>
      <c r="J197" s="374" t="str">
        <f t="shared" si="2"/>
        <v>FY2013</v>
      </c>
      <c r="K197" s="285" t="s">
        <v>152</v>
      </c>
      <c r="L197" s="383">
        <v>605</v>
      </c>
      <c r="M197" s="265" t="s">
        <v>894</v>
      </c>
    </row>
    <row r="198" spans="1:13" ht="69" customHeight="1" x14ac:dyDescent="0.4">
      <c r="A198" s="381" t="s">
        <v>902</v>
      </c>
      <c r="B198" s="273" t="s">
        <v>1385</v>
      </c>
      <c r="C198" s="382" t="s">
        <v>1661</v>
      </c>
      <c r="D198" s="572" t="s">
        <v>1662</v>
      </c>
      <c r="E198" s="509" t="s">
        <v>1526</v>
      </c>
      <c r="F198" s="236" t="s">
        <v>1663</v>
      </c>
      <c r="G198" s="260" t="s">
        <v>147</v>
      </c>
      <c r="H198" s="260" t="s">
        <v>1664</v>
      </c>
      <c r="I198" s="567" t="s">
        <v>1665</v>
      </c>
      <c r="J198" s="374" t="str">
        <f t="shared" si="2"/>
        <v>FY2013</v>
      </c>
      <c r="K198" s="285" t="s">
        <v>152</v>
      </c>
      <c r="L198" s="383">
        <v>574</v>
      </c>
      <c r="M198" s="265" t="s">
        <v>894</v>
      </c>
    </row>
    <row r="199" spans="1:13" ht="69" customHeight="1" x14ac:dyDescent="0.4">
      <c r="A199" s="379" t="s">
        <v>1104</v>
      </c>
      <c r="B199" s="273" t="s">
        <v>1666</v>
      </c>
      <c r="C199" s="273" t="s">
        <v>1219</v>
      </c>
      <c r="D199" s="570" t="s">
        <v>1667</v>
      </c>
      <c r="E199" s="369" t="s">
        <v>444</v>
      </c>
      <c r="F199" s="236" t="s">
        <v>1668</v>
      </c>
      <c r="G199" s="260" t="s">
        <v>1534</v>
      </c>
      <c r="H199" s="510" t="s">
        <v>152</v>
      </c>
      <c r="I199" s="568" t="s">
        <v>1669</v>
      </c>
      <c r="J199" s="374" t="str">
        <f t="shared" si="2"/>
        <v>FY2014</v>
      </c>
      <c r="K199" s="239">
        <v>41827</v>
      </c>
      <c r="L199" s="376">
        <v>1136158</v>
      </c>
      <c r="M199" s="265" t="s">
        <v>894</v>
      </c>
    </row>
    <row r="200" spans="1:13" ht="69" customHeight="1" x14ac:dyDescent="0.4">
      <c r="A200" s="377" t="s">
        <v>1109</v>
      </c>
      <c r="B200" s="273" t="s">
        <v>1200</v>
      </c>
      <c r="C200" s="273" t="s">
        <v>1219</v>
      </c>
      <c r="D200" s="578" t="s">
        <v>1670</v>
      </c>
      <c r="E200" s="369" t="s">
        <v>536</v>
      </c>
      <c r="F200" s="236" t="s">
        <v>2294</v>
      </c>
      <c r="G200" s="260" t="s">
        <v>1671</v>
      </c>
      <c r="H200" s="260" t="s">
        <v>1672</v>
      </c>
      <c r="I200" s="567" t="s">
        <v>1669</v>
      </c>
      <c r="J200" s="374" t="str">
        <f t="shared" si="2"/>
        <v>FY2014</v>
      </c>
      <c r="K200" s="239">
        <v>42082</v>
      </c>
      <c r="L200" s="380">
        <v>3958</v>
      </c>
      <c r="M200" s="265" t="s">
        <v>841</v>
      </c>
    </row>
    <row r="201" spans="1:13" ht="69" customHeight="1" x14ac:dyDescent="0.4">
      <c r="A201" s="373" t="s">
        <v>840</v>
      </c>
      <c r="B201" s="273" t="s">
        <v>1385</v>
      </c>
      <c r="C201" s="382" t="s">
        <v>1673</v>
      </c>
      <c r="D201" s="570" t="s">
        <v>1674</v>
      </c>
      <c r="E201" s="509" t="s">
        <v>548</v>
      </c>
      <c r="F201" s="269" t="s">
        <v>1675</v>
      </c>
      <c r="G201" s="263" t="s">
        <v>1652</v>
      </c>
      <c r="H201" s="263" t="s">
        <v>185</v>
      </c>
      <c r="I201" s="567" t="s">
        <v>1669</v>
      </c>
      <c r="J201" s="374" t="str">
        <f t="shared" si="2"/>
        <v>FY2014</v>
      </c>
      <c r="K201" s="239">
        <v>42059</v>
      </c>
      <c r="L201" s="380">
        <v>320</v>
      </c>
      <c r="M201" s="265" t="s">
        <v>894</v>
      </c>
    </row>
    <row r="202" spans="1:13" ht="69" customHeight="1" x14ac:dyDescent="0.4">
      <c r="A202" s="373" t="s">
        <v>840</v>
      </c>
      <c r="B202" s="273" t="s">
        <v>1676</v>
      </c>
      <c r="C202" s="382" t="s">
        <v>1677</v>
      </c>
      <c r="D202" s="570" t="s">
        <v>1678</v>
      </c>
      <c r="E202" s="509" t="s">
        <v>548</v>
      </c>
      <c r="F202" s="269" t="s">
        <v>1679</v>
      </c>
      <c r="G202" s="263" t="s">
        <v>1458</v>
      </c>
      <c r="H202" s="263" t="s">
        <v>185</v>
      </c>
      <c r="I202" s="567" t="s">
        <v>1669</v>
      </c>
      <c r="J202" s="374" t="str">
        <f t="shared" si="2"/>
        <v>FY2014</v>
      </c>
      <c r="K202" s="239">
        <v>42059</v>
      </c>
      <c r="L202" s="380">
        <v>111</v>
      </c>
      <c r="M202" s="265" t="s">
        <v>894</v>
      </c>
    </row>
    <row r="203" spans="1:13" ht="69" customHeight="1" x14ac:dyDescent="0.4">
      <c r="A203" s="373" t="s">
        <v>840</v>
      </c>
      <c r="B203" s="273" t="s">
        <v>1267</v>
      </c>
      <c r="C203" s="273" t="s">
        <v>1587</v>
      </c>
      <c r="D203" s="570" t="s">
        <v>1680</v>
      </c>
      <c r="E203" s="509" t="s">
        <v>233</v>
      </c>
      <c r="F203" s="269" t="s">
        <v>1681</v>
      </c>
      <c r="G203" s="260" t="s">
        <v>1644</v>
      </c>
      <c r="H203" s="263" t="s">
        <v>2473</v>
      </c>
      <c r="I203" s="567" t="s">
        <v>1669</v>
      </c>
      <c r="J203" s="374" t="str">
        <f t="shared" si="2"/>
        <v>FY2014</v>
      </c>
      <c r="K203" s="272"/>
      <c r="L203" s="384">
        <v>385</v>
      </c>
      <c r="M203" s="240" t="s">
        <v>894</v>
      </c>
    </row>
    <row r="204" spans="1:13" ht="69" customHeight="1" x14ac:dyDescent="0.4">
      <c r="A204" s="373" t="s">
        <v>840</v>
      </c>
      <c r="B204" s="273" t="s">
        <v>1566</v>
      </c>
      <c r="C204" s="382" t="s">
        <v>1682</v>
      </c>
      <c r="D204" s="570" t="s">
        <v>1683</v>
      </c>
      <c r="E204" s="509" t="s">
        <v>233</v>
      </c>
      <c r="F204" s="269" t="s">
        <v>1684</v>
      </c>
      <c r="G204" s="260" t="s">
        <v>147</v>
      </c>
      <c r="H204" s="260" t="s">
        <v>1685</v>
      </c>
      <c r="I204" s="567" t="s">
        <v>1669</v>
      </c>
      <c r="J204" s="374" t="str">
        <f t="shared" si="2"/>
        <v>FY2014</v>
      </c>
      <c r="K204" s="239">
        <v>42059</v>
      </c>
      <c r="L204" s="380">
        <v>19011</v>
      </c>
      <c r="M204" s="265" t="s">
        <v>894</v>
      </c>
    </row>
    <row r="205" spans="1:13" ht="69" customHeight="1" x14ac:dyDescent="0.4">
      <c r="A205" s="373" t="s">
        <v>840</v>
      </c>
      <c r="B205" s="273" t="s">
        <v>1566</v>
      </c>
      <c r="C205" s="382" t="s">
        <v>1686</v>
      </c>
      <c r="D205" s="570" t="s">
        <v>909</v>
      </c>
      <c r="E205" s="509" t="s">
        <v>233</v>
      </c>
      <c r="F205" s="269" t="s">
        <v>1687</v>
      </c>
      <c r="G205" s="260" t="s">
        <v>147</v>
      </c>
      <c r="H205" s="260" t="s">
        <v>1610</v>
      </c>
      <c r="I205" s="567" t="s">
        <v>1669</v>
      </c>
      <c r="J205" s="374" t="str">
        <f t="shared" si="2"/>
        <v>FY2014</v>
      </c>
      <c r="K205" s="239">
        <v>42059</v>
      </c>
      <c r="L205" s="380">
        <v>742</v>
      </c>
      <c r="M205" s="265" t="s">
        <v>894</v>
      </c>
    </row>
    <row r="206" spans="1:13" ht="69" customHeight="1" x14ac:dyDescent="0.4">
      <c r="A206" s="373" t="s">
        <v>840</v>
      </c>
      <c r="B206" s="273" t="s">
        <v>1316</v>
      </c>
      <c r="C206" s="273" t="s">
        <v>1152</v>
      </c>
      <c r="D206" s="574" t="s">
        <v>1688</v>
      </c>
      <c r="E206" s="369" t="s">
        <v>430</v>
      </c>
      <c r="F206" s="269" t="s">
        <v>1689</v>
      </c>
      <c r="G206" s="263" t="s">
        <v>1644</v>
      </c>
      <c r="H206" s="263" t="s">
        <v>1606</v>
      </c>
      <c r="I206" s="567" t="s">
        <v>1669</v>
      </c>
      <c r="J206" s="374" t="str">
        <f t="shared" si="2"/>
        <v>FY2014</v>
      </c>
      <c r="K206" s="272">
        <v>42059</v>
      </c>
      <c r="L206" s="376" t="s">
        <v>1582</v>
      </c>
      <c r="M206" s="240" t="s">
        <v>894</v>
      </c>
    </row>
    <row r="207" spans="1:13" ht="69" customHeight="1" x14ac:dyDescent="0.4">
      <c r="A207" s="373" t="s">
        <v>840</v>
      </c>
      <c r="B207" s="273" t="s">
        <v>1316</v>
      </c>
      <c r="C207" s="273" t="s">
        <v>1587</v>
      </c>
      <c r="D207" s="578" t="s">
        <v>1690</v>
      </c>
      <c r="E207" s="509" t="s">
        <v>1691</v>
      </c>
      <c r="F207" s="269" t="s">
        <v>1692</v>
      </c>
      <c r="G207" s="263" t="s">
        <v>1644</v>
      </c>
      <c r="H207" s="260" t="s">
        <v>1693</v>
      </c>
      <c r="I207" s="567" t="s">
        <v>1669</v>
      </c>
      <c r="J207" s="374" t="str">
        <f t="shared" si="2"/>
        <v>FY2014</v>
      </c>
      <c r="K207" s="239">
        <v>42059</v>
      </c>
      <c r="L207" s="376" t="s">
        <v>1152</v>
      </c>
      <c r="M207" s="265" t="s">
        <v>894</v>
      </c>
    </row>
    <row r="208" spans="1:13" ht="69" customHeight="1" x14ac:dyDescent="0.4">
      <c r="A208" s="373" t="s">
        <v>840</v>
      </c>
      <c r="B208" s="273" t="s">
        <v>1385</v>
      </c>
      <c r="C208" s="382" t="s">
        <v>1694</v>
      </c>
      <c r="D208" s="570" t="s">
        <v>1695</v>
      </c>
      <c r="E208" s="509" t="s">
        <v>1517</v>
      </c>
      <c r="F208" s="269" t="s">
        <v>1696</v>
      </c>
      <c r="G208" s="260" t="s">
        <v>147</v>
      </c>
      <c r="H208" s="260" t="s">
        <v>1576</v>
      </c>
      <c r="I208" s="567" t="s">
        <v>1669</v>
      </c>
      <c r="J208" s="374" t="str">
        <f t="shared" si="2"/>
        <v>FY2014</v>
      </c>
      <c r="K208" s="239">
        <v>42059</v>
      </c>
      <c r="L208" s="380">
        <v>610</v>
      </c>
      <c r="M208" s="265" t="s">
        <v>894</v>
      </c>
    </row>
    <row r="209" spans="1:13" ht="69" customHeight="1" x14ac:dyDescent="0.4">
      <c r="A209" s="373" t="s">
        <v>840</v>
      </c>
      <c r="B209" s="273" t="s">
        <v>1697</v>
      </c>
      <c r="C209" s="273" t="s">
        <v>1152</v>
      </c>
      <c r="D209" s="570" t="s">
        <v>1698</v>
      </c>
      <c r="E209" s="369" t="s">
        <v>145</v>
      </c>
      <c r="F209" s="236" t="s">
        <v>1699</v>
      </c>
      <c r="G209" s="260" t="s">
        <v>147</v>
      </c>
      <c r="H209" s="260" t="s">
        <v>1700</v>
      </c>
      <c r="I209" s="567" t="s">
        <v>1669</v>
      </c>
      <c r="J209" s="374" t="str">
        <f t="shared" si="2"/>
        <v>FY2014</v>
      </c>
      <c r="K209" s="239">
        <v>42023</v>
      </c>
      <c r="L209" s="380">
        <v>107</v>
      </c>
      <c r="M209" s="265" t="s">
        <v>894</v>
      </c>
    </row>
    <row r="210" spans="1:13" ht="69" customHeight="1" x14ac:dyDescent="0.4">
      <c r="A210" s="373" t="s">
        <v>840</v>
      </c>
      <c r="B210" s="273" t="s">
        <v>1385</v>
      </c>
      <c r="C210" s="382" t="s">
        <v>1701</v>
      </c>
      <c r="D210" s="570" t="s">
        <v>1702</v>
      </c>
      <c r="E210" s="369" t="s">
        <v>536</v>
      </c>
      <c r="F210" s="236" t="s">
        <v>1703</v>
      </c>
      <c r="G210" s="263" t="s">
        <v>1644</v>
      </c>
      <c r="H210" s="263" t="s">
        <v>185</v>
      </c>
      <c r="I210" s="567" t="s">
        <v>1669</v>
      </c>
      <c r="J210" s="374" t="str">
        <f t="shared" si="2"/>
        <v>FY2014</v>
      </c>
      <c r="K210" s="239">
        <v>41956</v>
      </c>
      <c r="L210" s="380">
        <v>156</v>
      </c>
      <c r="M210" s="265" t="s">
        <v>894</v>
      </c>
    </row>
    <row r="211" spans="1:13" ht="69" customHeight="1" x14ac:dyDescent="0.4">
      <c r="A211" s="373" t="s">
        <v>840</v>
      </c>
      <c r="B211" s="273" t="s">
        <v>1316</v>
      </c>
      <c r="C211" s="273" t="s">
        <v>1582</v>
      </c>
      <c r="D211" s="560" t="s">
        <v>1704</v>
      </c>
      <c r="E211" s="509" t="s">
        <v>233</v>
      </c>
      <c r="F211" s="269" t="s">
        <v>1705</v>
      </c>
      <c r="G211" s="263" t="s">
        <v>1458</v>
      </c>
      <c r="H211" s="263" t="s">
        <v>1606</v>
      </c>
      <c r="I211" s="567" t="s">
        <v>1669</v>
      </c>
      <c r="J211" s="374" t="str">
        <f t="shared" si="2"/>
        <v>FY2014</v>
      </c>
      <c r="K211" s="272">
        <v>41810</v>
      </c>
      <c r="L211" s="384">
        <v>4644</v>
      </c>
      <c r="M211" s="240" t="s">
        <v>894</v>
      </c>
    </row>
    <row r="212" spans="1:13" ht="69" customHeight="1" x14ac:dyDescent="0.4">
      <c r="A212" s="373" t="s">
        <v>840</v>
      </c>
      <c r="B212" s="273" t="s">
        <v>1385</v>
      </c>
      <c r="C212" s="382" t="s">
        <v>1706</v>
      </c>
      <c r="D212" s="570" t="s">
        <v>1707</v>
      </c>
      <c r="E212" s="369" t="s">
        <v>233</v>
      </c>
      <c r="F212" s="236" t="s">
        <v>1708</v>
      </c>
      <c r="G212" s="260" t="s">
        <v>1709</v>
      </c>
      <c r="H212" s="260" t="s">
        <v>1710</v>
      </c>
      <c r="I212" s="567" t="s">
        <v>1669</v>
      </c>
      <c r="J212" s="374" t="str">
        <f t="shared" si="2"/>
        <v>FY2014</v>
      </c>
      <c r="K212" s="239">
        <v>41810</v>
      </c>
      <c r="L212" s="380">
        <v>149063</v>
      </c>
      <c r="M212" s="265" t="s">
        <v>894</v>
      </c>
    </row>
    <row r="213" spans="1:13" ht="69" customHeight="1" x14ac:dyDescent="0.4">
      <c r="A213" s="373" t="s">
        <v>840</v>
      </c>
      <c r="B213" s="273" t="s">
        <v>2399</v>
      </c>
      <c r="C213" s="382" t="s">
        <v>2400</v>
      </c>
      <c r="D213" s="570" t="s">
        <v>1711</v>
      </c>
      <c r="E213" s="369" t="s">
        <v>233</v>
      </c>
      <c r="F213" s="236" t="s">
        <v>1712</v>
      </c>
      <c r="G213" s="260" t="s">
        <v>147</v>
      </c>
      <c r="H213" s="260" t="s">
        <v>1581</v>
      </c>
      <c r="I213" s="567" t="s">
        <v>1669</v>
      </c>
      <c r="J213" s="374" t="str">
        <f t="shared" si="2"/>
        <v>FY2014</v>
      </c>
      <c r="K213" s="239">
        <v>41810</v>
      </c>
      <c r="L213" s="380">
        <v>98</v>
      </c>
      <c r="M213" s="265" t="s">
        <v>894</v>
      </c>
    </row>
    <row r="214" spans="1:13" ht="69" customHeight="1" x14ac:dyDescent="0.4">
      <c r="A214" s="373" t="s">
        <v>840</v>
      </c>
      <c r="B214" s="273" t="s">
        <v>1385</v>
      </c>
      <c r="C214" s="382" t="s">
        <v>1713</v>
      </c>
      <c r="D214" s="570" t="s">
        <v>1714</v>
      </c>
      <c r="E214" s="509" t="s">
        <v>1195</v>
      </c>
      <c r="F214" s="236" t="s">
        <v>1715</v>
      </c>
      <c r="G214" s="260" t="s">
        <v>1265</v>
      </c>
      <c r="H214" s="260" t="s">
        <v>1716</v>
      </c>
      <c r="I214" s="567" t="s">
        <v>1669</v>
      </c>
      <c r="J214" s="374" t="str">
        <f t="shared" si="2"/>
        <v>FY2014</v>
      </c>
      <c r="K214" s="239">
        <v>41810</v>
      </c>
      <c r="L214" s="380">
        <v>324</v>
      </c>
      <c r="M214" s="265" t="s">
        <v>894</v>
      </c>
    </row>
    <row r="215" spans="1:13" ht="69" customHeight="1" x14ac:dyDescent="0.4">
      <c r="A215" s="373" t="s">
        <v>840</v>
      </c>
      <c r="B215" s="273" t="s">
        <v>1717</v>
      </c>
      <c r="C215" s="382" t="s">
        <v>1718</v>
      </c>
      <c r="D215" s="570" t="s">
        <v>1719</v>
      </c>
      <c r="E215" s="369" t="s">
        <v>233</v>
      </c>
      <c r="F215" s="236" t="s">
        <v>1720</v>
      </c>
      <c r="G215" s="260" t="s">
        <v>147</v>
      </c>
      <c r="H215" s="263" t="s">
        <v>195</v>
      </c>
      <c r="I215" s="567" t="s">
        <v>1669</v>
      </c>
      <c r="J215" s="374" t="str">
        <f t="shared" si="2"/>
        <v>FY2014</v>
      </c>
      <c r="K215" s="239">
        <v>41810</v>
      </c>
      <c r="L215" s="380">
        <v>205</v>
      </c>
      <c r="M215" s="265" t="s">
        <v>894</v>
      </c>
    </row>
    <row r="216" spans="1:13" ht="69" customHeight="1" x14ac:dyDescent="0.4">
      <c r="A216" s="373" t="s">
        <v>840</v>
      </c>
      <c r="B216" s="273" t="s">
        <v>1316</v>
      </c>
      <c r="C216" s="273" t="s">
        <v>1721</v>
      </c>
      <c r="D216" s="578" t="s">
        <v>1722</v>
      </c>
      <c r="E216" s="509" t="s">
        <v>1176</v>
      </c>
      <c r="F216" s="236" t="s">
        <v>1723</v>
      </c>
      <c r="G216" s="260" t="s">
        <v>1151</v>
      </c>
      <c r="H216" s="260" t="s">
        <v>1724</v>
      </c>
      <c r="I216" s="567" t="s">
        <v>1669</v>
      </c>
      <c r="J216" s="374" t="str">
        <f t="shared" si="2"/>
        <v>FY2014</v>
      </c>
      <c r="K216" s="239">
        <v>41810</v>
      </c>
      <c r="L216" s="376" t="s">
        <v>1721</v>
      </c>
      <c r="M216" s="265" t="s">
        <v>894</v>
      </c>
    </row>
    <row r="217" spans="1:13" ht="69" customHeight="1" x14ac:dyDescent="0.4">
      <c r="A217" s="379" t="s">
        <v>1104</v>
      </c>
      <c r="B217" s="273" t="s">
        <v>1725</v>
      </c>
      <c r="C217" s="273" t="s">
        <v>1721</v>
      </c>
      <c r="D217" s="570" t="s">
        <v>1726</v>
      </c>
      <c r="E217" s="509" t="s">
        <v>233</v>
      </c>
      <c r="F217" s="269" t="s">
        <v>1727</v>
      </c>
      <c r="G217" s="263" t="s">
        <v>1534</v>
      </c>
      <c r="H217" s="510" t="s">
        <v>152</v>
      </c>
      <c r="I217" s="567" t="s">
        <v>1728</v>
      </c>
      <c r="J217" s="374" t="str">
        <f t="shared" si="2"/>
        <v>FY2014</v>
      </c>
      <c r="K217" s="273" t="s">
        <v>418</v>
      </c>
      <c r="L217" s="383">
        <v>180000</v>
      </c>
      <c r="M217" s="240" t="s">
        <v>894</v>
      </c>
    </row>
    <row r="218" spans="1:13" ht="69" customHeight="1" x14ac:dyDescent="0.4">
      <c r="A218" s="379" t="s">
        <v>1104</v>
      </c>
      <c r="B218" s="273" t="s">
        <v>1725</v>
      </c>
      <c r="C218" s="273" t="s">
        <v>1721</v>
      </c>
      <c r="D218" s="572" t="s">
        <v>1729</v>
      </c>
      <c r="E218" s="509" t="s">
        <v>1195</v>
      </c>
      <c r="F218" s="236" t="s">
        <v>1730</v>
      </c>
      <c r="G218" s="260" t="s">
        <v>1534</v>
      </c>
      <c r="H218" s="510" t="s">
        <v>152</v>
      </c>
      <c r="I218" s="567" t="s">
        <v>1731</v>
      </c>
      <c r="J218" s="374" t="str">
        <f t="shared" ref="J218:J229" si="3">RIGHT(I218, 6)</f>
        <v>FY2013</v>
      </c>
      <c r="K218" s="273" t="s">
        <v>418</v>
      </c>
      <c r="L218" s="386" t="s">
        <v>1732</v>
      </c>
      <c r="M218" s="265" t="s">
        <v>894</v>
      </c>
    </row>
    <row r="219" spans="1:13" ht="69" customHeight="1" x14ac:dyDescent="0.4">
      <c r="A219" s="373" t="s">
        <v>840</v>
      </c>
      <c r="B219" s="273" t="s">
        <v>1385</v>
      </c>
      <c r="C219" s="382" t="s">
        <v>1733</v>
      </c>
      <c r="D219" s="570" t="s">
        <v>1734</v>
      </c>
      <c r="E219" s="369" t="s">
        <v>548</v>
      </c>
      <c r="F219" s="236" t="s">
        <v>1651</v>
      </c>
      <c r="G219" s="263" t="s">
        <v>413</v>
      </c>
      <c r="H219" s="263" t="s">
        <v>185</v>
      </c>
      <c r="I219" s="567" t="s">
        <v>1731</v>
      </c>
      <c r="J219" s="374" t="str">
        <f t="shared" si="3"/>
        <v>FY2013</v>
      </c>
      <c r="K219" s="387" t="s">
        <v>1333</v>
      </c>
      <c r="L219" s="380">
        <v>259</v>
      </c>
      <c r="M219" s="265" t="s">
        <v>894</v>
      </c>
    </row>
    <row r="220" spans="1:13" ht="69" customHeight="1" x14ac:dyDescent="0.4">
      <c r="A220" s="373" t="s">
        <v>840</v>
      </c>
      <c r="B220" s="273" t="s">
        <v>1316</v>
      </c>
      <c r="C220" s="273" t="s">
        <v>1721</v>
      </c>
      <c r="D220" s="578" t="s">
        <v>1735</v>
      </c>
      <c r="E220" s="369" t="s">
        <v>444</v>
      </c>
      <c r="F220" s="236" t="s">
        <v>1736</v>
      </c>
      <c r="G220" s="260" t="s">
        <v>1737</v>
      </c>
      <c r="H220" s="263" t="s">
        <v>1738</v>
      </c>
      <c r="I220" s="567" t="s">
        <v>1731</v>
      </c>
      <c r="J220" s="374" t="str">
        <f t="shared" si="3"/>
        <v>FY2013</v>
      </c>
      <c r="K220" s="376" t="s">
        <v>1721</v>
      </c>
      <c r="L220" s="376" t="s">
        <v>1152</v>
      </c>
      <c r="M220" s="265" t="s">
        <v>841</v>
      </c>
    </row>
    <row r="221" spans="1:13" ht="69" customHeight="1" x14ac:dyDescent="0.4">
      <c r="A221" s="373" t="s">
        <v>840</v>
      </c>
      <c r="B221" s="273" t="s">
        <v>1385</v>
      </c>
      <c r="C221" s="382" t="s">
        <v>1739</v>
      </c>
      <c r="D221" s="570" t="s">
        <v>1740</v>
      </c>
      <c r="E221" s="369" t="s">
        <v>233</v>
      </c>
      <c r="F221" s="236" t="s">
        <v>1699</v>
      </c>
      <c r="G221" s="260" t="s">
        <v>147</v>
      </c>
      <c r="H221" s="260" t="s">
        <v>1741</v>
      </c>
      <c r="I221" s="567" t="s">
        <v>1731</v>
      </c>
      <c r="J221" s="374" t="str">
        <f t="shared" si="3"/>
        <v>FY2013</v>
      </c>
      <c r="K221" s="387"/>
      <c r="L221" s="376">
        <v>117</v>
      </c>
      <c r="M221" s="265" t="s">
        <v>894</v>
      </c>
    </row>
    <row r="222" spans="1:13" ht="69" customHeight="1" x14ac:dyDescent="0.4">
      <c r="A222" s="373" t="s">
        <v>840</v>
      </c>
      <c r="B222" s="273" t="s">
        <v>1385</v>
      </c>
      <c r="C222" s="382" t="s">
        <v>1742</v>
      </c>
      <c r="D222" s="570" t="s">
        <v>1743</v>
      </c>
      <c r="E222" s="369" t="s">
        <v>233</v>
      </c>
      <c r="F222" s="236" t="s">
        <v>1699</v>
      </c>
      <c r="G222" s="260" t="s">
        <v>147</v>
      </c>
      <c r="H222" s="263" t="s">
        <v>2477</v>
      </c>
      <c r="I222" s="567" t="s">
        <v>1731</v>
      </c>
      <c r="J222" s="374" t="str">
        <f t="shared" si="3"/>
        <v>FY2013</v>
      </c>
      <c r="K222" s="387"/>
      <c r="L222" s="376">
        <v>152</v>
      </c>
      <c r="M222" s="265" t="s">
        <v>894</v>
      </c>
    </row>
    <row r="223" spans="1:13" ht="69" customHeight="1" x14ac:dyDescent="0.4">
      <c r="A223" s="373" t="s">
        <v>840</v>
      </c>
      <c r="B223" s="273" t="s">
        <v>1385</v>
      </c>
      <c r="C223" s="529" t="s">
        <v>1744</v>
      </c>
      <c r="D223" s="570" t="s">
        <v>1745</v>
      </c>
      <c r="E223" s="369" t="s">
        <v>509</v>
      </c>
      <c r="F223" s="236" t="s">
        <v>1746</v>
      </c>
      <c r="G223" s="260" t="s">
        <v>147</v>
      </c>
      <c r="H223" s="263" t="s">
        <v>398</v>
      </c>
      <c r="I223" s="567" t="s">
        <v>1731</v>
      </c>
      <c r="J223" s="374" t="str">
        <f t="shared" si="3"/>
        <v>FY2013</v>
      </c>
      <c r="K223" s="387"/>
      <c r="L223" s="380">
        <v>298</v>
      </c>
      <c r="M223" s="265" t="s">
        <v>894</v>
      </c>
    </row>
    <row r="224" spans="1:13" ht="69" customHeight="1" x14ac:dyDescent="0.4">
      <c r="A224" s="373" t="s">
        <v>840</v>
      </c>
      <c r="B224" s="273" t="s">
        <v>1385</v>
      </c>
      <c r="C224" s="382" t="s">
        <v>1747</v>
      </c>
      <c r="D224" s="570" t="s">
        <v>1748</v>
      </c>
      <c r="E224" s="369" t="s">
        <v>233</v>
      </c>
      <c r="F224" s="236" t="s">
        <v>355</v>
      </c>
      <c r="G224" s="260" t="s">
        <v>147</v>
      </c>
      <c r="H224" s="260" t="s">
        <v>201</v>
      </c>
      <c r="I224" s="567" t="s">
        <v>1731</v>
      </c>
      <c r="J224" s="374" t="str">
        <f t="shared" si="3"/>
        <v>FY2013</v>
      </c>
      <c r="K224" s="387"/>
      <c r="L224" s="380">
        <v>175</v>
      </c>
      <c r="M224" s="265" t="s">
        <v>894</v>
      </c>
    </row>
    <row r="225" spans="1:13" ht="69" customHeight="1" x14ac:dyDescent="0.4">
      <c r="A225" s="373" t="s">
        <v>840</v>
      </c>
      <c r="B225" s="273" t="s">
        <v>1385</v>
      </c>
      <c r="C225" s="382" t="s">
        <v>1749</v>
      </c>
      <c r="D225" s="570" t="s">
        <v>1750</v>
      </c>
      <c r="E225" s="369" t="s">
        <v>233</v>
      </c>
      <c r="F225" s="236" t="s">
        <v>1751</v>
      </c>
      <c r="G225" s="260" t="s">
        <v>147</v>
      </c>
      <c r="H225" s="260" t="s">
        <v>1602</v>
      </c>
      <c r="I225" s="567" t="s">
        <v>1731</v>
      </c>
      <c r="J225" s="374" t="str">
        <f t="shared" si="3"/>
        <v>FY2013</v>
      </c>
      <c r="K225" s="387"/>
      <c r="L225" s="376">
        <v>806</v>
      </c>
      <c r="M225" s="265" t="s">
        <v>894</v>
      </c>
    </row>
    <row r="226" spans="1:13" ht="69" customHeight="1" x14ac:dyDescent="0.4">
      <c r="A226" s="373" t="s">
        <v>840</v>
      </c>
      <c r="B226" s="273" t="s">
        <v>1385</v>
      </c>
      <c r="C226" s="273" t="s">
        <v>1752</v>
      </c>
      <c r="D226" s="570" t="s">
        <v>1753</v>
      </c>
      <c r="E226" s="369" t="s">
        <v>233</v>
      </c>
      <c r="F226" s="236" t="s">
        <v>1754</v>
      </c>
      <c r="G226" s="260" t="s">
        <v>147</v>
      </c>
      <c r="H226" s="260" t="s">
        <v>1462</v>
      </c>
      <c r="I226" s="567" t="s">
        <v>1731</v>
      </c>
      <c r="J226" s="374" t="str">
        <f t="shared" si="3"/>
        <v>FY2013</v>
      </c>
      <c r="K226" s="387"/>
      <c r="L226" s="380">
        <v>165</v>
      </c>
      <c r="M226" s="265" t="s">
        <v>894</v>
      </c>
    </row>
    <row r="227" spans="1:13" ht="69" customHeight="1" x14ac:dyDescent="0.4">
      <c r="A227" s="373" t="s">
        <v>840</v>
      </c>
      <c r="B227" s="273" t="s">
        <v>1316</v>
      </c>
      <c r="C227" s="273" t="s">
        <v>1129</v>
      </c>
      <c r="D227" s="560" t="s">
        <v>1755</v>
      </c>
      <c r="E227" s="509" t="s">
        <v>145</v>
      </c>
      <c r="F227" s="269" t="s">
        <v>1756</v>
      </c>
      <c r="G227" s="263" t="s">
        <v>147</v>
      </c>
      <c r="H227" s="263"/>
      <c r="I227" s="567" t="s">
        <v>1731</v>
      </c>
      <c r="J227" s="374" t="str">
        <f t="shared" si="3"/>
        <v>FY2013</v>
      </c>
      <c r="K227" s="273"/>
      <c r="L227" s="384">
        <v>12557</v>
      </c>
      <c r="M227" s="240" t="s">
        <v>894</v>
      </c>
    </row>
    <row r="228" spans="1:13" ht="69" customHeight="1" x14ac:dyDescent="0.4">
      <c r="A228" s="373" t="s">
        <v>840</v>
      </c>
      <c r="B228" s="273" t="s">
        <v>1316</v>
      </c>
      <c r="C228" s="273" t="s">
        <v>418</v>
      </c>
      <c r="D228" s="575" t="s">
        <v>1757</v>
      </c>
      <c r="E228" s="509" t="s">
        <v>1758</v>
      </c>
      <c r="F228" s="269" t="s">
        <v>1759</v>
      </c>
      <c r="G228" s="263" t="s">
        <v>147</v>
      </c>
      <c r="H228" s="263"/>
      <c r="I228" s="567" t="s">
        <v>1731</v>
      </c>
      <c r="J228" s="374" t="str">
        <f t="shared" si="3"/>
        <v>FY2013</v>
      </c>
      <c r="K228" s="376" t="s">
        <v>418</v>
      </c>
      <c r="L228" s="376" t="s">
        <v>1333</v>
      </c>
      <c r="M228" s="240" t="s">
        <v>841</v>
      </c>
    </row>
    <row r="229" spans="1:13" ht="69" customHeight="1" x14ac:dyDescent="0.4">
      <c r="A229" s="373" t="s">
        <v>840</v>
      </c>
      <c r="B229" s="273" t="s">
        <v>1316</v>
      </c>
      <c r="C229" s="273" t="s">
        <v>1721</v>
      </c>
      <c r="D229" s="575" t="s">
        <v>1760</v>
      </c>
      <c r="E229" s="509" t="s">
        <v>1517</v>
      </c>
      <c r="F229" s="263"/>
      <c r="G229" s="263" t="s">
        <v>147</v>
      </c>
      <c r="H229" s="263"/>
      <c r="I229" s="567" t="s">
        <v>1731</v>
      </c>
      <c r="J229" s="374" t="str">
        <f t="shared" si="3"/>
        <v>FY2013</v>
      </c>
      <c r="K229" s="376" t="s">
        <v>418</v>
      </c>
      <c r="L229" s="376" t="s">
        <v>1582</v>
      </c>
      <c r="M229" s="240" t="s">
        <v>841</v>
      </c>
    </row>
    <row r="230" spans="1:13" ht="25.5" x14ac:dyDescent="0.4">
      <c r="A230" s="553" t="s">
        <v>2301</v>
      </c>
      <c r="B230" s="553">
        <f>SUBTOTAL(3, B24:B229)</f>
        <v>206</v>
      </c>
      <c r="C230" s="553"/>
      <c r="D230" s="553"/>
      <c r="E230" s="553"/>
      <c r="F230" s="553"/>
      <c r="G230" s="553"/>
      <c r="H230" s="553"/>
      <c r="I230" s="553"/>
      <c r="J230" s="553"/>
      <c r="K230" s="553"/>
      <c r="L230" s="559">
        <f>SUBTOTAL(9, L24:L229)</f>
        <v>3122604.63</v>
      </c>
      <c r="M230" s="553"/>
    </row>
  </sheetData>
  <autoFilter ref="A11:M229"/>
  <mergeCells count="6">
    <mergeCell ref="A10:M10"/>
    <mergeCell ref="C4:M4"/>
    <mergeCell ref="C5:M5"/>
    <mergeCell ref="C6:M6"/>
    <mergeCell ref="C7:M7"/>
    <mergeCell ref="C8:M8"/>
  </mergeCells>
  <phoneticPr fontId="3"/>
  <hyperlinks>
    <hyperlink ref="D210" r:id="rId1"/>
    <hyperlink ref="D214" r:id="rId2"/>
    <hyperlink ref="D212" r:id="rId3"/>
    <hyperlink ref="D213" r:id="rId4"/>
    <hyperlink ref="D215" r:id="rId5"/>
    <hyperlink ref="D205" r:id="rId6"/>
    <hyperlink ref="D204" r:id="rId7"/>
    <hyperlink ref="D201" r:id="rId8"/>
    <hyperlink ref="D208" r:id="rId9"/>
    <hyperlink ref="D202" r:id="rId10"/>
    <hyperlink ref="D181" r:id="rId11"/>
    <hyperlink ref="D182" r:id="rId12"/>
    <hyperlink ref="D183" r:id="rId13"/>
    <hyperlink ref="D180" r:id="rId14"/>
    <hyperlink ref="D179" r:id="rId15"/>
    <hyperlink ref="D178" r:id="rId16"/>
    <hyperlink ref="D191" r:id="rId17"/>
    <hyperlink ref="D192" r:id="rId18"/>
    <hyperlink ref="D185" r:id="rId19"/>
    <hyperlink ref="D184" r:id="rId20"/>
    <hyperlink ref="D176" r:id="rId21"/>
    <hyperlink ref="D175" r:id="rId22"/>
    <hyperlink ref="D190" r:id="rId23"/>
    <hyperlink ref="D195" r:id="rId24"/>
    <hyperlink ref="D188" r:id="rId25"/>
    <hyperlink ref="D156" r:id="rId26"/>
    <hyperlink ref="D137" r:id="rId27"/>
    <hyperlink ref="D136" r:id="rId28"/>
    <hyperlink ref="D138" r:id="rId29"/>
    <hyperlink ref="D132" r:id="rId30"/>
    <hyperlink ref="D109" r:id="rId31"/>
    <hyperlink ref="D106" r:id="rId32"/>
    <hyperlink ref="D139" r:id="rId33"/>
    <hyperlink ref="D123" r:id="rId34"/>
    <hyperlink ref="D133" r:id="rId35"/>
    <hyperlink ref="D129" r:id="rId36"/>
    <hyperlink ref="D140" r:id="rId37"/>
    <hyperlink ref="D146" r:id="rId38" display="Introduction of 1.5MW Rooftop Solar Power System and Advanced EMS for Power Supply in Paint Factory"/>
    <hyperlink ref="D147" r:id="rId39"/>
    <hyperlink ref="D143" r:id="rId40"/>
    <hyperlink ref="D144" r:id="rId41"/>
    <hyperlink ref="D145" r:id="rId42"/>
    <hyperlink ref="D151" r:id="rId43"/>
    <hyperlink ref="D152" r:id="rId44"/>
    <hyperlink ref="D108" r:id="rId45"/>
    <hyperlink ref="D130" r:id="rId46"/>
    <hyperlink ref="D122" r:id="rId47"/>
    <hyperlink ref="D142" r:id="rId48"/>
    <hyperlink ref="D124" r:id="rId49"/>
    <hyperlink ref="D126" r:id="rId50"/>
    <hyperlink ref="D127" r:id="rId51"/>
    <hyperlink ref="D128" r:id="rId52"/>
    <hyperlink ref="D131" r:id="rId53"/>
    <hyperlink ref="D134" r:id="rId54"/>
    <hyperlink ref="D135" r:id="rId55"/>
    <hyperlink ref="D148" r:id="rId56"/>
    <hyperlink ref="D149" r:id="rId57"/>
    <hyperlink ref="D150" r:id="rId58"/>
    <hyperlink ref="D153" r:id="rId59"/>
    <hyperlink ref="D155" r:id="rId60"/>
    <hyperlink ref="D157" r:id="rId61"/>
    <hyperlink ref="D163" r:id="rId62"/>
    <hyperlink ref="D158" r:id="rId63"/>
    <hyperlink ref="D159" r:id="rId64"/>
    <hyperlink ref="D165" r:id="rId65"/>
    <hyperlink ref="D161" r:id="rId66"/>
    <hyperlink ref="D162" r:id="rId67"/>
    <hyperlink ref="D164" r:id="rId68"/>
    <hyperlink ref="D166" r:id="rId69"/>
    <hyperlink ref="D167" r:id="rId70"/>
    <hyperlink ref="D168" r:id="rId71"/>
    <hyperlink ref="D169" r:id="rId72"/>
    <hyperlink ref="D170" r:id="rId73"/>
    <hyperlink ref="D171" r:id="rId74"/>
    <hyperlink ref="D173" r:id="rId75"/>
    <hyperlink ref="D177" r:id="rId76"/>
    <hyperlink ref="D209" r:id="rId77"/>
    <hyperlink ref="D141" r:id="rId78"/>
    <hyperlink ref="D221" r:id="rId79" display="Energy Saving for Air-Conditioning and Process Cooling at Textile Factory"/>
    <hyperlink ref="D223" r:id="rId80" display="Upgrading and Installation of Centralized Control System of High-efficiency Heat Only Boiler (HOW)"/>
    <hyperlink ref="D224" r:id="rId81"/>
    <hyperlink ref="D226" r:id="rId82"/>
    <hyperlink ref="D225" r:id="rId83"/>
    <hyperlink ref="D103" r:id="rId84"/>
    <hyperlink ref="D219" r:id="rId85"/>
    <hyperlink ref="D203" r:id="rId86"/>
    <hyperlink ref="D86" r:id="rId87"/>
    <hyperlink ref="D87" r:id="rId88"/>
    <hyperlink ref="D88" r:id="rId89"/>
    <hyperlink ref="D96" r:id="rId90"/>
    <hyperlink ref="D92" r:id="rId91"/>
    <hyperlink ref="D93" r:id="rId92"/>
    <hyperlink ref="D95" r:id="rId93"/>
    <hyperlink ref="D97" r:id="rId94"/>
    <hyperlink ref="D98" r:id="rId95" display="Introduction of 20MW Solar Power System in San Luis Potosí "/>
    <hyperlink ref="D99" r:id="rId96"/>
    <hyperlink ref="D101" r:id="rId97"/>
    <hyperlink ref="D100" r:id="rId98"/>
    <hyperlink ref="D102" r:id="rId99"/>
    <hyperlink ref="D197" r:id="rId100" display="Energy saving by BEMS optimum operation at Hotel (since FY2013)"/>
    <hyperlink ref="D113" location="'Project Data'!B16" display="High efficiency and low loss power transmission and distribution system (since FY2013)"/>
    <hyperlink ref="D83" r:id="rId101"/>
    <hyperlink ref="D80" r:id="rId102"/>
    <hyperlink ref="D81" r:id="rId103"/>
    <hyperlink ref="D82" r:id="rId104"/>
    <hyperlink ref="D218" r:id="rId105"/>
    <hyperlink ref="D199" r:id="rId106"/>
    <hyperlink ref="D217" r:id="rId107"/>
    <hyperlink ref="D85" r:id="rId108"/>
    <hyperlink ref="D84" r:id="rId109"/>
    <hyperlink ref="D79" r:id="rId110"/>
    <hyperlink ref="D78" r:id="rId111"/>
    <hyperlink ref="D75" r:id="rId112"/>
    <hyperlink ref="D74" r:id="rId113"/>
    <hyperlink ref="D72" r:id="rId114"/>
    <hyperlink ref="D69" r:id="rId115"/>
    <hyperlink ref="D68" r:id="rId116"/>
    <hyperlink ref="D67" r:id="rId117"/>
    <hyperlink ref="D66" r:id="rId118"/>
    <hyperlink ref="D65" r:id="rId119" display="2.5MW Rice Husk Power Generation Project in Butuan City, Mindanaov"/>
    <hyperlink ref="D64" r:id="rId120"/>
    <hyperlink ref="D63" r:id="rId121"/>
    <hyperlink ref="D62" r:id="rId122" display="New Power Transmission Project in Bangladesh (unofficial title)"/>
    <hyperlink ref="D61" r:id="rId123" location="project-overview"/>
    <hyperlink ref="D118" r:id="rId124" display="Lao PDR Energy efficient data center (LEED) (since 2014)"/>
    <hyperlink ref="D198" r:id="rId125" display="Energy saving by inverter air conditioner optimum operation at National Hospital (since FY2013)"/>
    <hyperlink ref="D121" r:id="rId126" display="https://www.nedo.go.jp/content/100870080.pdf"/>
    <hyperlink ref="D52" r:id="rId127"/>
    <hyperlink ref="D53" r:id="rId128"/>
    <hyperlink ref="D54" r:id="rId129"/>
    <hyperlink ref="D57" r:id="rId130"/>
    <hyperlink ref="D55" r:id="rId131"/>
    <hyperlink ref="D59" r:id="rId132"/>
    <hyperlink ref="D60" r:id="rId133"/>
    <hyperlink ref="D58" r:id="rId134"/>
    <hyperlink ref="D56" r:id="rId135"/>
    <hyperlink ref="D77" r:id="rId136"/>
    <hyperlink ref="D70" r:id="rId137"/>
    <hyperlink ref="D120" r:id="rId138" display="Utility facility operation optimization technology into Oil factory (since FY2013)"/>
    <hyperlink ref="D119" r:id="rId139" display="Energy saving by optimum operation at Oil factory (since FY2013)"/>
    <hyperlink ref="D117" r:id="rId140"/>
    <hyperlink ref="D51" r:id="rId141"/>
    <hyperlink ref="D222" r:id="rId142" display="Energy Saving for Air-Conditioning and Process Cooling at Textile Factory"/>
    <hyperlink ref="C198" r:id="rId143"/>
    <hyperlink ref="C197" r:id="rId144"/>
    <hyperlink ref="C117" r:id="rId145"/>
    <hyperlink ref="D110" r:id="rId146"/>
    <hyperlink ref="C118" r:id="rId147"/>
    <hyperlink ref="C120" r:id="rId148"/>
    <hyperlink ref="C121" r:id="rId149"/>
    <hyperlink ref="C119" r:id="rId150"/>
    <hyperlink ref="C113" r:id="rId151" display="ID015"/>
    <hyperlink ref="D48" r:id="rId152"/>
    <hyperlink ref="D47" r:id="rId153"/>
    <hyperlink ref="D43" r:id="rId154"/>
    <hyperlink ref="D46" r:id="rId155"/>
    <hyperlink ref="D44" r:id="rId156"/>
    <hyperlink ref="D45" r:id="rId157"/>
    <hyperlink ref="D41" r:id="rId158"/>
    <hyperlink ref="D42" r:id="rId159"/>
    <hyperlink ref="C162" r:id="rId160"/>
    <hyperlink ref="C164" r:id="rId161"/>
    <hyperlink ref="C152" r:id="rId162"/>
    <hyperlink ref="C153" r:id="rId163"/>
    <hyperlink ref="C155" r:id="rId164"/>
    <hyperlink ref="C192" r:id="rId165"/>
    <hyperlink ref="C191" r:id="rId166"/>
    <hyperlink ref="C177" r:id="rId167"/>
    <hyperlink ref="C173" r:id="rId168"/>
    <hyperlink ref="C151" r:id="rId169"/>
    <hyperlink ref="C214" r:id="rId170"/>
    <hyperlink ref="C208" r:id="rId171"/>
    <hyperlink ref="C170" r:id="rId172"/>
    <hyperlink ref="C219" r:id="rId173"/>
    <hyperlink ref="C202" r:id="rId174"/>
    <hyperlink ref="C201" r:id="rId175"/>
    <hyperlink ref="C123" r:id="rId176"/>
    <hyperlink ref="C181" r:id="rId177"/>
    <hyperlink ref="C176" r:id="rId178"/>
    <hyperlink ref="C159" r:id="rId179"/>
    <hyperlink ref="C212" r:id="rId180"/>
    <hyperlink ref="C205" r:id="rId181"/>
    <hyperlink ref="C204" r:id="rId182"/>
    <hyperlink ref="C215" r:id="rId183"/>
    <hyperlink ref="C221" r:id="rId184"/>
    <hyperlink ref="C222" r:id="rId185"/>
    <hyperlink ref="C224" r:id="rId186"/>
    <hyperlink ref="C225" r:id="rId187"/>
    <hyperlink ref="C210" r:id="rId188"/>
    <hyperlink ref="C158" r:id="rId189"/>
    <hyperlink ref="C166" r:id="rId190"/>
    <hyperlink ref="C163" r:id="rId191"/>
    <hyperlink ref="C179" r:id="rId192"/>
    <hyperlink ref="C178" r:id="rId193"/>
    <hyperlink ref="C147" r:id="rId194"/>
    <hyperlink ref="C190" r:id="rId195"/>
    <hyperlink ref="C188" r:id="rId196"/>
    <hyperlink ref="C167" r:id="rId197"/>
    <hyperlink ref="C141" r:id="rId198"/>
    <hyperlink ref="C127" r:id="rId199"/>
    <hyperlink ref="C165" r:id="rId200"/>
    <hyperlink ref="C109" r:id="rId201"/>
    <hyperlink ref="C183" r:id="rId202"/>
    <hyperlink ref="D24" r:id="rId203"/>
    <hyperlink ref="D25" r:id="rId204"/>
    <hyperlink ref="D26" r:id="rId205"/>
    <hyperlink ref="D27" r:id="rId206"/>
    <hyperlink ref="D28" r:id="rId207"/>
    <hyperlink ref="D29" r:id="rId208"/>
    <hyperlink ref="D30" r:id="rId209"/>
    <hyperlink ref="D31" r:id="rId210"/>
    <hyperlink ref="D32" r:id="rId211"/>
    <hyperlink ref="D33" r:id="rId212"/>
    <hyperlink ref="D34" r:id="rId213"/>
    <hyperlink ref="D35" r:id="rId214"/>
    <hyperlink ref="D36" r:id="rId215" display="http://gec.jp/jcm/projects/19pro_chl_02/"/>
    <hyperlink ref="D37" r:id="rId216" display="http://gec.jp/jcm/projects/19pro_tha_03/"/>
    <hyperlink ref="D38" r:id="rId217" display="http://gec.jp/jcm/projects/19pro_phl_04/"/>
    <hyperlink ref="D40" r:id="rId218"/>
    <hyperlink ref="D39" r:id="rId219"/>
    <hyperlink ref="D115" r:id="rId220"/>
    <hyperlink ref="C122" r:id="rId221"/>
    <hyperlink ref="C213" r:id="rId222"/>
    <hyperlink ref="C85" r:id="rId223"/>
    <hyperlink ref="C195" r:id="rId224"/>
    <hyperlink ref="C138" r:id="rId225"/>
    <hyperlink ref="D104" r:id="rId226"/>
    <hyperlink ref="C180" r:id="rId227"/>
    <hyperlink ref="C161" r:id="rId228"/>
    <hyperlink ref="C184" r:id="rId229"/>
    <hyperlink ref="C131" r:id="rId230"/>
    <hyperlink ref="D50" r:id="rId231" display="http://gec.jp/jcm/projects/18fgas_tha_01/"/>
    <hyperlink ref="D49" r:id="rId232" display="http://gec.jp/jcm/projects/18fgas_vie_01/"/>
    <hyperlink ref="D16" r:id="rId233"/>
    <hyperlink ref="D12" r:id="rId234"/>
    <hyperlink ref="D13" r:id="rId235"/>
    <hyperlink ref="D14" r:id="rId236"/>
    <hyperlink ref="D15" r:id="rId237"/>
    <hyperlink ref="D17" r:id="rId238" display="http://gec.jp/jcm/projects/20pro_lao_01/"/>
    <hyperlink ref="D18" r:id="rId239"/>
    <hyperlink ref="D19" r:id="rId240" display="http://gec.jp/jcm/projects/20pro_tha_01/"/>
    <hyperlink ref="D22" r:id="rId241"/>
    <hyperlink ref="D21" r:id="rId242"/>
    <hyperlink ref="D20" r:id="rId243"/>
    <hyperlink ref="D23" r:id="rId244"/>
  </hyperlinks>
  <pageMargins left="0.7" right="0.7" top="0.75" bottom="0.75" header="0.3" footer="0.3"/>
  <pageSetup paperSize="9" orientation="portrait" r:id="rId24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249977111117893"/>
  </sheetPr>
  <dimension ref="A1:O110"/>
  <sheetViews>
    <sheetView showGridLines="0" zoomScale="70" zoomScaleNormal="70" workbookViewId="0"/>
  </sheetViews>
  <sheetFormatPr defaultRowHeight="18.75" x14ac:dyDescent="0.4"/>
  <cols>
    <col min="2" max="2" width="12.75" customWidth="1"/>
    <col min="3" max="9" width="17.375" customWidth="1"/>
    <col min="10" max="11" width="12.125" customWidth="1"/>
    <col min="12" max="13" width="14.75" customWidth="1"/>
    <col min="14" max="14" width="12.75" customWidth="1"/>
  </cols>
  <sheetData>
    <row r="1" spans="1:15" ht="26.25" x14ac:dyDescent="0.4">
      <c r="A1" s="397" t="s">
        <v>1761</v>
      </c>
      <c r="B1" s="398"/>
      <c r="C1" s="398"/>
      <c r="D1" s="398"/>
      <c r="E1" s="398"/>
      <c r="F1" s="398"/>
      <c r="G1" s="398"/>
      <c r="H1" s="398"/>
      <c r="I1" s="398"/>
      <c r="J1" s="398"/>
      <c r="K1" s="398"/>
      <c r="L1" s="398"/>
      <c r="M1" s="398"/>
      <c r="N1" s="398"/>
      <c r="O1" s="398"/>
    </row>
    <row r="2" spans="1:15" x14ac:dyDescent="0.2">
      <c r="A2" s="399"/>
      <c r="B2" s="177"/>
      <c r="C2" s="177"/>
      <c r="D2" s="177"/>
      <c r="E2" s="177"/>
      <c r="F2" s="177"/>
      <c r="G2" s="177"/>
      <c r="H2" s="177"/>
      <c r="I2" s="177"/>
      <c r="J2" s="177"/>
      <c r="K2" s="177"/>
      <c r="L2" s="177"/>
      <c r="M2" s="177"/>
      <c r="N2" s="177"/>
      <c r="O2" s="199"/>
    </row>
    <row r="3" spans="1:15" x14ac:dyDescent="0.2">
      <c r="A3" s="196"/>
      <c r="B3" s="152"/>
      <c r="C3" s="152"/>
      <c r="D3" s="152"/>
      <c r="E3" s="152"/>
      <c r="F3" s="152"/>
      <c r="G3" s="152"/>
      <c r="H3" s="152"/>
      <c r="I3" s="152"/>
      <c r="J3" s="152"/>
      <c r="K3" s="152"/>
      <c r="L3" s="152"/>
      <c r="M3" s="152"/>
      <c r="N3" s="152"/>
      <c r="O3" s="199"/>
    </row>
    <row r="4" spans="1:15" x14ac:dyDescent="0.2">
      <c r="A4" s="196"/>
      <c r="B4" s="165"/>
      <c r="C4" s="165"/>
      <c r="D4" s="165"/>
      <c r="E4" s="165"/>
      <c r="F4" s="165"/>
      <c r="G4" s="165"/>
      <c r="H4" s="165"/>
      <c r="I4" s="165"/>
      <c r="J4" s="165"/>
      <c r="K4" s="165"/>
      <c r="L4" s="165"/>
      <c r="M4" s="152"/>
      <c r="N4" s="165"/>
      <c r="O4" s="199"/>
    </row>
    <row r="5" spans="1:15" ht="20.25" x14ac:dyDescent="0.3">
      <c r="A5" s="198"/>
      <c r="B5" s="388" t="s">
        <v>1762</v>
      </c>
      <c r="C5" s="389"/>
      <c r="D5" s="389"/>
      <c r="E5" s="389"/>
      <c r="F5" s="389"/>
      <c r="G5" s="389"/>
      <c r="H5" s="389"/>
      <c r="I5" s="389"/>
      <c r="J5" s="389"/>
      <c r="K5" s="389"/>
      <c r="L5" s="390"/>
      <c r="M5" s="390"/>
      <c r="N5" s="390"/>
      <c r="O5" s="199"/>
    </row>
    <row r="6" spans="1:15" ht="42.75" x14ac:dyDescent="0.2">
      <c r="A6" s="198"/>
      <c r="B6" s="391" t="s">
        <v>1763</v>
      </c>
      <c r="C6" s="391" t="s">
        <v>2250</v>
      </c>
      <c r="D6" s="392" t="s">
        <v>1731</v>
      </c>
      <c r="E6" s="392" t="s">
        <v>1669</v>
      </c>
      <c r="F6" s="392" t="s">
        <v>1540</v>
      </c>
      <c r="G6" s="392" t="s">
        <v>1363</v>
      </c>
      <c r="H6" s="392" t="s">
        <v>1764</v>
      </c>
      <c r="I6" s="392" t="s">
        <v>1206</v>
      </c>
      <c r="J6" s="392" t="s">
        <v>1765</v>
      </c>
      <c r="K6" s="392" t="s">
        <v>2464</v>
      </c>
      <c r="L6" s="392" t="s">
        <v>824</v>
      </c>
      <c r="M6" s="392" t="s">
        <v>1766</v>
      </c>
      <c r="N6" s="391" t="s">
        <v>1767</v>
      </c>
      <c r="O6" s="199"/>
    </row>
    <row r="7" spans="1:15" x14ac:dyDescent="0.2">
      <c r="A7" s="198"/>
      <c r="B7" s="307" t="s">
        <v>403</v>
      </c>
      <c r="C7" s="307">
        <f>COUNTIFS('Financed Projects'!$E:$E, 'Financed Projects_summary'!B7, 'Financed Projects'!$J:$J, 'Financed Projects_summary'!$C$6, 'Financed Projects'!$B:$B,  "Registered") +COUNTIFS('Financed Projects'!$E:$E, 'Financed Projects_summary'!B7, 'Financed Projects'!$J:$J, 'Financed Projects_summary'!$C$6, 'Financed Projects'!$B:$B,  "Implementation")+COUNTIFS('Financed Projects'!$E:$E, 'Financed Projects_summary'!B7, 'Financed Projects'!$J:$J, 'Financed Projects_summary'!$C$6, 'Financed Projects'!$B:$B,  "Installing")</f>
        <v>0</v>
      </c>
      <c r="D7" s="307">
        <f>COUNTIFS('Financed Projects'!$E:$E, 'Financed Projects_summary'!B7, 'Financed Projects'!$J:$J, 'Financed Projects_summary'!$D$6, 'Financed Projects'!$B:$B,  "Registered") +COUNTIFS('Financed Projects'!$E:$E, 'Financed Projects_summary'!B7, 'Financed Projects'!$J:$J, 'Financed Projects_summary'!$D$6, 'Financed Projects'!$B:$B,  "Implementation")+COUNTIFS('Financed Projects'!$E:$E, 'Financed Projects_summary'!B7, 'Financed Projects'!$J:$J, 'Financed Projects_summary'!$D$6, 'Financed Projects'!$B:$B,  "Installing")</f>
        <v>7</v>
      </c>
      <c r="E7" s="307">
        <f>COUNTIFS('Financed Projects'!$E:$E, 'Financed Projects_summary'!B7, 'Financed Projects'!$J:$J, 'Financed Projects_summary'!$E$6, 'Financed Projects'!$B:$B,  "Registered") +COUNTIFS('Financed Projects'!$E:$E, 'Financed Projects_summary'!B7, 'Financed Projects'!$J:$J, 'Financed Projects_summary'!$E$6, 'Financed Projects'!$B:$B,  "Implementation")+COUNTIFS('Financed Projects'!$E:$E, 'Financed Projects_summary'!B7, 'Financed Projects'!$J:$J, 'Financed Projects_summary'!$E$6, 'Financed Projects'!$B:$B,  "Installing")</f>
        <v>6</v>
      </c>
      <c r="F7" s="307">
        <f>COUNTIFS('Financed Projects'!$E:$E, 'Financed Projects_summary'!B7, 'Financed Projects'!$J:$J, 'Financed Projects_summary'!$F$6, 'Financed Projects'!$B:$B,  "Registered") +COUNTIFS('Financed Projects'!$E:$E, 'Financed Projects_summary'!B7, 'Financed Projects'!$J:$J, 'Financed Projects_summary'!$F$6, 'Financed Projects'!$B:$B,  "Implementation")+COUNTIFS('Financed Projects'!$E:$E, 'Financed Projects_summary'!B7, 'Financed Projects'!$J:$J, 'Financed Projects_summary'!$F$6, 'Financed Projects'!$B:$B,  "Installing")</f>
        <v>8</v>
      </c>
      <c r="G7" s="307">
        <f>COUNTIFS('Financed Projects'!$E:$E, 'Financed Projects_summary'!B7, 'Financed Projects'!$J:$J, 'Financed Projects_summary'!$G$6, 'Financed Projects'!$B:$B,  "Registered") +COUNTIFS('Financed Projects'!$E:$E, 'Financed Projects_summary'!B7, 'Financed Projects'!$J:$J, 'Financed Projects_summary'!$G$6, 'Financed Projects'!$B:$B,  "Implementation")+COUNTIFS('Financed Projects'!$E:$E, 'Financed Projects_summary'!B7, 'Financed Projects'!$J:$J, 'Financed Projects_summary'!$G$6, 'Financed Projects'!$B:$B,  "Installing")</f>
        <v>5</v>
      </c>
      <c r="H7" s="307">
        <f>COUNTIFS('Financed Projects'!$E:$E, 'Financed Projects_summary'!B7, 'Financed Projects'!$J:$J, 'Financed Projects_summary'!$H$6, 'Financed Projects'!$B:$B,  "Registered") +COUNTIFS('Financed Projects'!$E:$E, 'Financed Projects_summary'!B7, 'Financed Projects'!$J:$J, 'Financed Projects_summary'!$H$6, 'Financed Projects'!$B:$B,  "Implementation")+COUNTIFS('Financed Projects'!$E:$E, 'Financed Projects_summary'!B7, 'Financed Projects'!$J:$J, 'Financed Projects_summary'!$H$6, 'Financed Projects'!$B:$B,  "Installing")</f>
        <v>2</v>
      </c>
      <c r="I7" s="307">
        <f>COUNTIFS('Financed Projects'!$E:$E, 'Financed Projects_summary'!B7, 'Financed Projects'!$J:$J, 'Financed Projects_summary'!$I$6, 'Financed Projects'!$B:$B,  "Registered") +COUNTIFS('Financed Projects'!$E:$E, 'Financed Projects_summary'!B7, 'Financed Projects'!$J:$J, 'Financed Projects_summary'!$I$6, 'Financed Projects'!$B:$B,  "Implementation")+COUNTIFS('Financed Projects'!$E:$E, 'Financed Projects_summary'!B7, 'Financed Projects'!$J:$J, 'Financed Projects_summary'!$I$6, 'Financed Projects'!$B:$B,  "Installing")</f>
        <v>5</v>
      </c>
      <c r="J7" s="307">
        <f>COUNTIFS('Financed Projects'!$E:$E, 'Financed Projects_summary'!B7, 'Financed Projects'!$J:$J, 'Financed Projects_summary'!$J$6, 'Financed Projects'!$B:$B,  "Registered") +COUNTIFS('Financed Projects'!$E:$E, 'Financed Projects_summary'!B7, 'Financed Projects'!$J:$J, 'Financed Projects_summary'!$J$6, 'Financed Projects'!$B:$B,  "Implementation")+COUNTIFS('Financed Projects'!$E:$E, 'Financed Projects_summary'!B7, 'Financed Projects'!$J:$J, 'Financed Projects_summary'!$J$6, 'Financed Projects'!$B:$B,  "Installing")</f>
        <v>4</v>
      </c>
      <c r="K7" s="307">
        <f>COUNTIFS('Financed Projects'!$E:$E, 'Financed Projects_summary'!B7, 'Financed Projects'!$J:$J, 'Financed Projects_summary'!$K$6, 'Financed Projects'!$B:$B,  "Registered") +COUNTIFS('Financed Projects'!$E:$E, 'Financed Projects_summary'!B7, 'Financed Projects'!$J:$J, 'Financed Projects_summary'!$K$6, 'Financed Projects'!$B:$B,  "Implementation")+COUNTIFS('Financed Projects'!$E:$E, 'Financed Projects_summary'!B7, 'Financed Projects'!$J:$J, 'Financed Projects_summary'!$K$6, 'Financed Projects'!$B:$B,  "Installing")</f>
        <v>1</v>
      </c>
      <c r="L7" s="307">
        <f>SUM(C7:K7)</f>
        <v>38</v>
      </c>
      <c r="M7" s="307">
        <f>COUNTIFS('Financed Projects'!$E:$E, 'Financed Projects_summary'!B7, 'Financed Projects'!$B:$B, "Registered")+1</f>
        <v>22</v>
      </c>
      <c r="N7" s="321">
        <f>SUMIFS('Financed Projects'!$L:$L, 'Financed Projects'!$E:$E, 'Financed Projects_summary'!B7, 'Financed Projects'!$B:$B, "Registered") + SUMIFS('Financed Projects'!$L:$L, 'Financed Projects'!$E:$E, 'Financed Projects_summary'!B7, 'Financed Projects'!$B:$B, "Implementation")+ SUMIFS('Financed Projects'!$L:$L, 'Financed Projects'!$E:$E, 'Financed Projects_summary'!B7, 'Financed Projects'!$B:$B, "Installing")</f>
        <v>518000</v>
      </c>
      <c r="O7" s="199"/>
    </row>
    <row r="8" spans="1:15" x14ac:dyDescent="0.2">
      <c r="A8" s="198"/>
      <c r="B8" s="307" t="s">
        <v>560</v>
      </c>
      <c r="C8" s="307">
        <f>COUNTIFS('Financed Projects'!$E:$E, 'Financed Projects_summary'!B8, 'Financed Projects'!$J:$J, 'Financed Projects_summary'!$C$6, 'Financed Projects'!$B:$B,  "Registered") +COUNTIFS('Financed Projects'!$E:$E, 'Financed Projects_summary'!B8, 'Financed Projects'!$J:$J, 'Financed Projects_summary'!$C$6, 'Financed Projects'!$B:$B,  "Implementation")+COUNTIFS('Financed Projects'!$E:$E, 'Financed Projects_summary'!B8, 'Financed Projects'!$J:$J, 'Financed Projects_summary'!$C$6, 'Financed Projects'!$B:$B,  "Installing")</f>
        <v>0</v>
      </c>
      <c r="D8" s="307">
        <f>COUNTIFS('Financed Projects'!$E:$E, 'Financed Projects_summary'!B8, 'Financed Projects'!$J:$J, 'Financed Projects_summary'!$D$6, 'Financed Projects'!$B:$B,  "Registered") +COUNTIFS('Financed Projects'!$E:$E, 'Financed Projects_summary'!B8, 'Financed Projects'!$J:$J, 'Financed Projects_summary'!$D$6, 'Financed Projects'!$B:$B,  "Implementation")+COUNTIFS('Financed Projects'!$E:$E, 'Financed Projects_summary'!B8, 'Financed Projects'!$J:$J, 'Financed Projects_summary'!$D$6, 'Financed Projects'!$B:$B,  "Installing")</f>
        <v>0</v>
      </c>
      <c r="E8" s="307">
        <f>COUNTIFS('Financed Projects'!$E:$E, 'Financed Projects_summary'!B8, 'Financed Projects'!$J:$J, 'Financed Projects_summary'!$E$6, 'Financed Projects'!$B:$B,  "Registered") +COUNTIFS('Financed Projects'!$E:$E, 'Financed Projects_summary'!B8, 'Financed Projects'!$J:$J, 'Financed Projects_summary'!$E$6, 'Financed Projects'!$B:$B,  "Implementation")+COUNTIFS('Financed Projects'!$E:$E, 'Financed Projects_summary'!B8, 'Financed Projects'!$J:$J, 'Financed Projects_summary'!$E$6, 'Financed Projects'!$B:$B,  "Installing")</f>
        <v>0</v>
      </c>
      <c r="F8" s="307">
        <f>COUNTIFS('Financed Projects'!$E:$E, 'Financed Projects_summary'!B8, 'Financed Projects'!$J:$J, 'Financed Projects_summary'!$F$6, 'Financed Projects'!$B:$B,  "Registered") +COUNTIFS('Financed Projects'!$E:$E, 'Financed Projects_summary'!B8, 'Financed Projects'!$J:$J, 'Financed Projects_summary'!$F$6, 'Financed Projects'!$B:$B,  "Implementation")+COUNTIFS('Financed Projects'!$E:$E, 'Financed Projects_summary'!B8, 'Financed Projects'!$J:$J, 'Financed Projects_summary'!$F$6, 'Financed Projects'!$B:$B,  "Installing")</f>
        <v>7</v>
      </c>
      <c r="G8" s="307">
        <f>COUNTIFS('Financed Projects'!$E:$E, 'Financed Projects_summary'!B8, 'Financed Projects'!$J:$J, 'Financed Projects_summary'!$G$6, 'Financed Projects'!$B:$B,  "Registered") +COUNTIFS('Financed Projects'!$E:$E, 'Financed Projects_summary'!B8, 'Financed Projects'!$J:$J, 'Financed Projects_summary'!$G$6, 'Financed Projects'!$B:$B,  "Implementation")+COUNTIFS('Financed Projects'!$E:$E, 'Financed Projects_summary'!B8, 'Financed Projects'!$J:$J, 'Financed Projects_summary'!$G$6, 'Financed Projects'!$B:$B,  "Installing")</f>
        <v>14</v>
      </c>
      <c r="H8" s="307">
        <f>COUNTIFS('Financed Projects'!$E:$E, 'Financed Projects_summary'!B8, 'Financed Projects'!$J:$J, 'Financed Projects_summary'!$H$6, 'Financed Projects'!$B:$B,  "Registered") +COUNTIFS('Financed Projects'!$E:$E, 'Financed Projects_summary'!B8, 'Financed Projects'!$J:$J, 'Financed Projects_summary'!$H$6, 'Financed Projects'!$B:$B,  "Implementation")+COUNTIFS('Financed Projects'!$E:$E, 'Financed Projects_summary'!B8, 'Financed Projects'!$J:$J, 'Financed Projects_summary'!$H$6, 'Financed Projects'!$B:$B,  "Installing")</f>
        <v>1</v>
      </c>
      <c r="I8" s="307">
        <f>COUNTIFS('Financed Projects'!$E:$E, 'Financed Projects_summary'!B8, 'Financed Projects'!$J:$J, 'Financed Projects_summary'!$I$6, 'Financed Projects'!$B:$B,  "Registered") +COUNTIFS('Financed Projects'!$E:$E, 'Financed Projects_summary'!B8, 'Financed Projects'!$J:$J, 'Financed Projects_summary'!$I$6, 'Financed Projects'!$B:$B,  "Implementation")+COUNTIFS('Financed Projects'!$E:$E, 'Financed Projects_summary'!B8, 'Financed Projects'!$J:$J, 'Financed Projects_summary'!$I$6, 'Financed Projects'!$B:$B,  "Installing")</f>
        <v>6</v>
      </c>
      <c r="J8" s="307">
        <f>COUNTIFS('Financed Projects'!$E:$E, 'Financed Projects_summary'!B8, 'Financed Projects'!$J:$J, 'Financed Projects_summary'!$J$6, 'Financed Projects'!$B:$B,  "Registered") +COUNTIFS('Financed Projects'!$E:$E, 'Financed Projects_summary'!B8, 'Financed Projects'!$J:$J, 'Financed Projects_summary'!$J$6, 'Financed Projects'!$B:$B,  "Implementation")+COUNTIFS('Financed Projects'!$E:$E, 'Financed Projects_summary'!B8, 'Financed Projects'!$J:$J, 'Financed Projects_summary'!$J$6, 'Financed Projects'!$B:$B,  "Installing")</f>
        <v>4</v>
      </c>
      <c r="K8" s="307">
        <f>COUNTIFS('Financed Projects'!$E:$E, 'Financed Projects_summary'!B8, 'Financed Projects'!$J:$J, 'Financed Projects_summary'!$K$6, 'Financed Projects'!$B:$B,  "Registered") +COUNTIFS('Financed Projects'!$E:$E, 'Financed Projects_summary'!B8, 'Financed Projects'!$J:$J, 'Financed Projects_summary'!$K$6, 'Financed Projects'!$B:$B,  "Implementation")+COUNTIFS('Financed Projects'!$E:$E, 'Financed Projects_summary'!B8, 'Financed Projects'!$J:$J, 'Financed Projects_summary'!$K$6, 'Financed Projects'!$B:$B,  "Installing")</f>
        <v>2</v>
      </c>
      <c r="L8" s="307">
        <f t="shared" ref="L8:L23" si="0">SUM(C8:K8)</f>
        <v>34</v>
      </c>
      <c r="M8" s="307">
        <f>COUNTIFS('Financed Projects'!$E:$E, 'Financed Projects_summary'!B8, 'Financed Projects'!$B:$B, "Registered")</f>
        <v>7</v>
      </c>
      <c r="N8" s="321">
        <f>SUMIFS('Financed Projects'!$L:$L, 'Financed Projects'!$E:$E, 'Financed Projects_summary'!B8, 'Financed Projects'!$B:$B, "Registered") + SUMIFS('Financed Projects'!$L:$L, 'Financed Projects'!$E:$E, 'Financed Projects_summary'!B8, 'Financed Projects'!$B:$B, "Implementation")+ SUMIFS('Financed Projects'!$L:$L, 'Financed Projects'!$E:$E, 'Financed Projects_summary'!B8, 'Financed Projects'!$B:$B, "Installing")</f>
        <v>203320</v>
      </c>
      <c r="O8" s="199"/>
    </row>
    <row r="9" spans="1:15" x14ac:dyDescent="0.2">
      <c r="A9" s="198"/>
      <c r="B9" s="307" t="s">
        <v>630</v>
      </c>
      <c r="C9" s="307">
        <f>COUNTIFS('Financed Projects'!$E:$E, 'Financed Projects_summary'!B9, 'Financed Projects'!$J:$J, 'Financed Projects_summary'!$C$6, 'Financed Projects'!$B:$B,  "Registered") +COUNTIFS('Financed Projects'!$E:$E, 'Financed Projects_summary'!B9, 'Financed Projects'!$J:$J, 'Financed Projects_summary'!$C$6, 'Financed Projects'!$B:$B,  "Implementation")+COUNTIFS('Financed Projects'!$E:$E, 'Financed Projects_summary'!B9, 'Financed Projects'!$J:$J, 'Financed Projects_summary'!$C$6, 'Financed Projects'!$B:$B,  "Installing")</f>
        <v>0</v>
      </c>
      <c r="D9" s="307">
        <f>COUNTIFS('Financed Projects'!$E:$E, 'Financed Projects_summary'!B9, 'Financed Projects'!$J:$J, 'Financed Projects_summary'!$D$6, 'Financed Projects'!$B:$B,  "Registered") +COUNTIFS('Financed Projects'!$E:$E, 'Financed Projects_summary'!B9, 'Financed Projects'!$J:$J, 'Financed Projects_summary'!$D$6, 'Financed Projects'!$B:$B,  "Implementation")+COUNTIFS('Financed Projects'!$E:$E, 'Financed Projects_summary'!B9, 'Financed Projects'!$J:$J, 'Financed Projects_summary'!$D$6, 'Financed Projects'!$B:$B,  "Installing")</f>
        <v>2</v>
      </c>
      <c r="E9" s="307">
        <f>COUNTIFS('Financed Projects'!$E:$E, 'Financed Projects_summary'!B9, 'Financed Projects'!$J:$J, 'Financed Projects_summary'!$E$6, 'Financed Projects'!$B:$B,  "Registered") +COUNTIFS('Financed Projects'!$E:$E, 'Financed Projects_summary'!B9, 'Financed Projects'!$J:$J, 'Financed Projects_summary'!$E$6, 'Financed Projects'!$B:$B,  "Implementation")+COUNTIFS('Financed Projects'!$E:$E, 'Financed Projects_summary'!B9, 'Financed Projects'!$J:$J, 'Financed Projects_summary'!$E$6, 'Financed Projects'!$B:$B,  "Installing")</f>
        <v>2</v>
      </c>
      <c r="F9" s="307">
        <f>COUNTIFS('Financed Projects'!$E:$E, 'Financed Projects_summary'!B9, 'Financed Projects'!$J:$J, 'Financed Projects_summary'!$F$6, 'Financed Projects'!$B:$B,  "Registered") +COUNTIFS('Financed Projects'!$E:$E, 'Financed Projects_summary'!B9, 'Financed Projects'!$J:$J, 'Financed Projects_summary'!$F$6, 'Financed Projects'!$B:$B,  "Implementation")+COUNTIFS('Financed Projects'!$E:$E, 'Financed Projects_summary'!B9, 'Financed Projects'!$J:$J, 'Financed Projects_summary'!$F$6, 'Financed Projects'!$B:$B,  "Installing")</f>
        <v>8</v>
      </c>
      <c r="G9" s="307">
        <f>COUNTIFS('Financed Projects'!$E:$E, 'Financed Projects_summary'!B9, 'Financed Projects'!$J:$J, 'Financed Projects_summary'!$G$6, 'Financed Projects'!$B:$B,  "Registered") +COUNTIFS('Financed Projects'!$E:$E, 'Financed Projects_summary'!B9, 'Financed Projects'!$J:$J, 'Financed Projects_summary'!$G$6, 'Financed Projects'!$B:$B,  "Implementation")+COUNTIFS('Financed Projects'!$E:$E, 'Financed Projects_summary'!B9, 'Financed Projects'!$J:$J, 'Financed Projects_summary'!$G$6, 'Financed Projects'!$B:$B,  "Installing")</f>
        <v>4</v>
      </c>
      <c r="H9" s="307">
        <f>COUNTIFS('Financed Projects'!$E:$E, 'Financed Projects_summary'!B9, 'Financed Projects'!$J:$J, 'Financed Projects_summary'!$H$6, 'Financed Projects'!$B:$B,  "Registered") +COUNTIFS('Financed Projects'!$E:$E, 'Financed Projects_summary'!B9, 'Financed Projects'!$J:$J, 'Financed Projects_summary'!$H$6, 'Financed Projects'!$B:$B,  "Implementation")+COUNTIFS('Financed Projects'!$E:$E, 'Financed Projects_summary'!B9, 'Financed Projects'!$J:$J, 'Financed Projects_summary'!$H$6, 'Financed Projects'!$B:$B,  "Installing")</f>
        <v>3</v>
      </c>
      <c r="I9" s="307">
        <f>COUNTIFS('Financed Projects'!$E:$E, 'Financed Projects_summary'!B9, 'Financed Projects'!$J:$J, 'Financed Projects_summary'!$I$6, 'Financed Projects'!$B:$B,  "Registered") +COUNTIFS('Financed Projects'!$E:$E, 'Financed Projects_summary'!B9, 'Financed Projects'!$J:$J, 'Financed Projects_summary'!$I$6, 'Financed Projects'!$B:$B,  "Implementation")+COUNTIFS('Financed Projects'!$E:$E, 'Financed Projects_summary'!B9, 'Financed Projects'!$J:$J, 'Financed Projects_summary'!$I$6, 'Financed Projects'!$B:$B,  "Installing")</f>
        <v>3</v>
      </c>
      <c r="J9" s="307">
        <f>COUNTIFS('Financed Projects'!$E:$E, 'Financed Projects_summary'!B9, 'Financed Projects'!$J:$J, 'Financed Projects_summary'!$J$6, 'Financed Projects'!$B:$B,  "Registered") +COUNTIFS('Financed Projects'!$E:$E, 'Financed Projects_summary'!B9, 'Financed Projects'!$J:$J, 'Financed Projects_summary'!$J$6, 'Financed Projects'!$B:$B,  "Implementation")+COUNTIFS('Financed Projects'!$E:$E, 'Financed Projects_summary'!B9, 'Financed Projects'!$J:$J, 'Financed Projects_summary'!$J$6, 'Financed Projects'!$B:$B,  "Installing")</f>
        <v>5</v>
      </c>
      <c r="K9" s="307">
        <f>COUNTIFS('Financed Projects'!$E:$E, 'Financed Projects_summary'!B9, 'Financed Projects'!$J:$J, 'Financed Projects_summary'!$K$6, 'Financed Projects'!$B:$B,  "Registered") +COUNTIFS('Financed Projects'!$E:$E, 'Financed Projects_summary'!B9, 'Financed Projects'!$J:$J, 'Financed Projects_summary'!$K$6, 'Financed Projects'!$B:$B,  "Implementation")+COUNTIFS('Financed Projects'!$E:$E, 'Financed Projects_summary'!B9, 'Financed Projects'!$J:$J, 'Financed Projects_summary'!$K$6, 'Financed Projects'!$B:$B,  "Installing")</f>
        <v>5</v>
      </c>
      <c r="L9" s="307">
        <f t="shared" si="0"/>
        <v>32</v>
      </c>
      <c r="M9" s="307">
        <f>COUNTIFS('Financed Projects'!$E:$E, 'Financed Projects_summary'!B9, 'Financed Projects'!$B:$B, "Registered")</f>
        <v>14</v>
      </c>
      <c r="N9" s="321">
        <f>SUMIFS('Financed Projects'!$L:$L, 'Financed Projects'!$E:$E, 'Financed Projects_summary'!B9, 'Financed Projects'!$B:$B, "Registered") + SUMIFS('Financed Projects'!$L:$L, 'Financed Projects'!$E:$E, 'Financed Projects_summary'!B9, 'Financed Projects'!$B:$B, "Implementation")+ SUMIFS('Financed Projects'!$L:$L, 'Financed Projects'!$E:$E, 'Financed Projects_summary'!B9, 'Financed Projects'!$B:$B, "Installing")</f>
        <v>172399.5</v>
      </c>
      <c r="O9" s="199"/>
    </row>
    <row r="10" spans="1:15" x14ac:dyDescent="0.2">
      <c r="A10" s="198"/>
      <c r="B10" s="307" t="s">
        <v>771</v>
      </c>
      <c r="C10" s="307">
        <f>COUNTIFS('Financed Projects'!$E:$E, 'Financed Projects_summary'!B10, 'Financed Projects'!$J:$J, 'Financed Projects_summary'!$C$6, 'Financed Projects'!$B:$B,  "Registered") +COUNTIFS('Financed Projects'!$E:$E, 'Financed Projects_summary'!B10, 'Financed Projects'!$J:$J, 'Financed Projects_summary'!$C$6, 'Financed Projects'!$B:$B,  "Implementation")+COUNTIFS('Financed Projects'!$E:$E, 'Financed Projects_summary'!B10, 'Financed Projects'!$J:$J, 'Financed Projects_summary'!$C$6, 'Financed Projects'!$B:$B,  "Installing")</f>
        <v>0</v>
      </c>
      <c r="D10" s="307">
        <f>COUNTIFS('Financed Projects'!$E:$E, 'Financed Projects_summary'!B10, 'Financed Projects'!$J:$J, 'Financed Projects_summary'!$D$6, 'Financed Projects'!$B:$B,  "Registered") +COUNTIFS('Financed Projects'!$E:$E, 'Financed Projects_summary'!B10, 'Financed Projects'!$J:$J, 'Financed Projects_summary'!$D$6, 'Financed Projects'!$B:$B,  "Implementation")+COUNTIFS('Financed Projects'!$E:$E, 'Financed Projects_summary'!B10, 'Financed Projects'!$J:$J, 'Financed Projects_summary'!$D$6, 'Financed Projects'!$B:$B,  "Installing")</f>
        <v>0</v>
      </c>
      <c r="E10" s="307">
        <f>COUNTIFS('Financed Projects'!$E:$E, 'Financed Projects_summary'!B10, 'Financed Projects'!$J:$J, 'Financed Projects_summary'!$E$6, 'Financed Projects'!$B:$B,  "Registered") +COUNTIFS('Financed Projects'!$E:$E, 'Financed Projects_summary'!B10, 'Financed Projects'!$J:$J, 'Financed Projects_summary'!$E$6, 'Financed Projects'!$B:$B,  "Implementation")+COUNTIFS('Financed Projects'!$E:$E, 'Financed Projects_summary'!B10, 'Financed Projects'!$J:$J, 'Financed Projects_summary'!$E$6, 'Financed Projects'!$B:$B,  "Installing")</f>
        <v>0</v>
      </c>
      <c r="F10" s="307">
        <f>COUNTIFS('Financed Projects'!$E:$E, 'Financed Projects_summary'!B10, 'Financed Projects'!$J:$J, 'Financed Projects_summary'!$F$6, 'Financed Projects'!$B:$B,  "Registered") +COUNTIFS('Financed Projects'!$E:$E, 'Financed Projects_summary'!B10, 'Financed Projects'!$J:$J, 'Financed Projects_summary'!$F$6, 'Financed Projects'!$B:$B,  "Implementation")+COUNTIFS('Financed Projects'!$E:$E, 'Financed Projects_summary'!B10, 'Financed Projects'!$J:$J, 'Financed Projects_summary'!$F$6, 'Financed Projects'!$B:$B,  "Installing")</f>
        <v>0</v>
      </c>
      <c r="G10" s="307">
        <f>COUNTIFS('Financed Projects'!$E:$E, 'Financed Projects_summary'!B10, 'Financed Projects'!$J:$J, 'Financed Projects_summary'!$G$6, 'Financed Projects'!$B:$B,  "Registered") +COUNTIFS('Financed Projects'!$E:$E, 'Financed Projects_summary'!B10, 'Financed Projects'!$J:$J, 'Financed Projects_summary'!$G$6, 'Financed Projects'!$B:$B,  "Implementation")+COUNTIFS('Financed Projects'!$E:$E, 'Financed Projects_summary'!B10, 'Financed Projects'!$J:$J, 'Financed Projects_summary'!$G$6, 'Financed Projects'!$B:$B,  "Installing")</f>
        <v>0</v>
      </c>
      <c r="H10" s="307">
        <f>COUNTIFS('Financed Projects'!$E:$E, 'Financed Projects_summary'!B10, 'Financed Projects'!$J:$J, 'Financed Projects_summary'!$H$6, 'Financed Projects'!$B:$B,  "Registered") +COUNTIFS('Financed Projects'!$E:$E, 'Financed Projects_summary'!B10, 'Financed Projects'!$J:$J, 'Financed Projects_summary'!$H$6, 'Financed Projects'!$B:$B,  "Implementation")+COUNTIFS('Financed Projects'!$E:$E, 'Financed Projects_summary'!B10, 'Financed Projects'!$J:$J, 'Financed Projects_summary'!$H$6, 'Financed Projects'!$B:$B,  "Installing")</f>
        <v>5</v>
      </c>
      <c r="I10" s="307">
        <f>COUNTIFS('Financed Projects'!$E:$E, 'Financed Projects_summary'!B10, 'Financed Projects'!$J:$J, 'Financed Projects_summary'!$I$6, 'Financed Projects'!$B:$B,  "Registered") +COUNTIFS('Financed Projects'!$E:$E, 'Financed Projects_summary'!B10, 'Financed Projects'!$J:$J, 'Financed Projects_summary'!$I$6, 'Financed Projects'!$B:$B,  "Implementation")+COUNTIFS('Financed Projects'!$E:$E, 'Financed Projects_summary'!B10, 'Financed Projects'!$J:$J, 'Financed Projects_summary'!$I$6, 'Financed Projects'!$B:$B,  "Installing")</f>
        <v>3</v>
      </c>
      <c r="J10" s="307">
        <f>COUNTIFS('Financed Projects'!$E:$E, 'Financed Projects_summary'!B10, 'Financed Projects'!$J:$J, 'Financed Projects_summary'!$J$6, 'Financed Projects'!$B:$B,  "Registered") +COUNTIFS('Financed Projects'!$E:$E, 'Financed Projects_summary'!B10, 'Financed Projects'!$J:$J, 'Financed Projects_summary'!$J$6, 'Financed Projects'!$B:$B,  "Implementation")+COUNTIFS('Financed Projects'!$E:$E, 'Financed Projects_summary'!B10, 'Financed Projects'!$J:$J, 'Financed Projects_summary'!$J$6, 'Financed Projects'!$B:$B,  "Installing")</f>
        <v>4</v>
      </c>
      <c r="K10" s="307">
        <f>COUNTIFS('Financed Projects'!$E:$E, 'Financed Projects_summary'!B10, 'Financed Projects'!$J:$J, 'Financed Projects_summary'!$K$6, 'Financed Projects'!$B:$B,  "Registered") +COUNTIFS('Financed Projects'!$E:$E, 'Financed Projects_summary'!B10, 'Financed Projects'!$J:$J, 'Financed Projects_summary'!$K$6, 'Financed Projects'!$B:$B,  "Implementation")+COUNTIFS('Financed Projects'!$E:$E, 'Financed Projects_summary'!B10, 'Financed Projects'!$J:$J, 'Financed Projects_summary'!$K$6, 'Financed Projects'!$B:$B,  "Installing")</f>
        <v>1</v>
      </c>
      <c r="L10" s="307">
        <f t="shared" si="0"/>
        <v>13</v>
      </c>
      <c r="M10" s="307">
        <f>COUNTIFS('Financed Projects'!$E:$E, 'Financed Projects_summary'!B10, 'Financed Projects'!$B:$B, "Registered")</f>
        <v>0</v>
      </c>
      <c r="N10" s="321">
        <f>SUMIFS('Financed Projects'!$L:$L, 'Financed Projects'!$E:$E, 'Financed Projects_summary'!B10, 'Financed Projects'!$B:$B, "Registered") + SUMIFS('Financed Projects'!$L:$L, 'Financed Projects'!$E:$E, 'Financed Projects_summary'!B10, 'Financed Projects'!$B:$B, "Implementation")+ SUMIFS('Financed Projects'!$L:$L, 'Financed Projects'!$E:$E, 'Financed Projects_summary'!B10, 'Financed Projects'!$B:$B, "Installing")</f>
        <v>287379.13</v>
      </c>
      <c r="O10" s="199"/>
    </row>
    <row r="11" spans="1:15" x14ac:dyDescent="0.2">
      <c r="A11" s="198"/>
      <c r="B11" s="307" t="s">
        <v>509</v>
      </c>
      <c r="C11" s="307">
        <f>COUNTIFS('Financed Projects'!$E:$E, 'Financed Projects_summary'!B11, 'Financed Projects'!$J:$J, 'Financed Projects_summary'!$C$6, 'Financed Projects'!$B:$B,  "Registered") +COUNTIFS('Financed Projects'!$E:$E, 'Financed Projects_summary'!B11, 'Financed Projects'!$J:$J, 'Financed Projects_summary'!$C$6, 'Financed Projects'!$B:$B,  "Implementation")+COUNTIFS('Financed Projects'!$E:$E, 'Financed Projects_summary'!B11, 'Financed Projects'!$J:$J, 'Financed Projects_summary'!$C$6, 'Financed Projects'!$B:$B,  "Installing")</f>
        <v>0</v>
      </c>
      <c r="D11" s="307">
        <f>COUNTIFS('Financed Projects'!$E:$E, 'Financed Projects_summary'!B11, 'Financed Projects'!$J:$J, 'Financed Projects_summary'!$D$6, 'Financed Projects'!$B:$B,  "Registered") +COUNTIFS('Financed Projects'!$E:$E, 'Financed Projects_summary'!B11, 'Financed Projects'!$J:$J, 'Financed Projects_summary'!$D$6, 'Financed Projects'!$B:$B,  "Implementation")+COUNTIFS('Financed Projects'!$E:$E, 'Financed Projects_summary'!B11, 'Financed Projects'!$J:$J, 'Financed Projects_summary'!$D$6, 'Financed Projects'!$B:$B,  "Installing")</f>
        <v>2</v>
      </c>
      <c r="E11" s="307">
        <f>COUNTIFS('Financed Projects'!$E:$E, 'Financed Projects_summary'!B11, 'Financed Projects'!$J:$J, 'Financed Projects_summary'!$E$6, 'Financed Projects'!$B:$B,  "Registered") +COUNTIFS('Financed Projects'!$E:$E, 'Financed Projects_summary'!B11, 'Financed Projects'!$J:$J, 'Financed Projects_summary'!$E$6, 'Financed Projects'!$B:$B,  "Implementation")+COUNTIFS('Financed Projects'!$E:$E, 'Financed Projects_summary'!B11, 'Financed Projects'!$J:$J, 'Financed Projects_summary'!$E$6, 'Financed Projects'!$B:$B,  "Installing")</f>
        <v>0</v>
      </c>
      <c r="F11" s="307">
        <f>COUNTIFS('Financed Projects'!$E:$E, 'Financed Projects_summary'!B11, 'Financed Projects'!$J:$J, 'Financed Projects_summary'!$F$6, 'Financed Projects'!$B:$B,  "Registered") +COUNTIFS('Financed Projects'!$E:$E, 'Financed Projects_summary'!B11, 'Financed Projects'!$J:$J, 'Financed Projects_summary'!$F$6, 'Financed Projects'!$B:$B,  "Implementation")+COUNTIFS('Financed Projects'!$E:$E, 'Financed Projects_summary'!B11, 'Financed Projects'!$J:$J, 'Financed Projects_summary'!$F$6, 'Financed Projects'!$B:$B,  "Installing")</f>
        <v>2</v>
      </c>
      <c r="G11" s="307">
        <f>COUNTIFS('Financed Projects'!$E:$E, 'Financed Projects_summary'!B11, 'Financed Projects'!$J:$J, 'Financed Projects_summary'!$G$6, 'Financed Projects'!$B:$B,  "Registered") +COUNTIFS('Financed Projects'!$E:$E, 'Financed Projects_summary'!B11, 'Financed Projects'!$J:$J, 'Financed Projects_summary'!$G$6, 'Financed Projects'!$B:$B,  "Implementation")+COUNTIFS('Financed Projects'!$E:$E, 'Financed Projects_summary'!B11, 'Financed Projects'!$J:$J, 'Financed Projects_summary'!$G$6, 'Financed Projects'!$B:$B,  "Installing")</f>
        <v>1</v>
      </c>
      <c r="H11" s="307">
        <f>COUNTIFS('Financed Projects'!$E:$E, 'Financed Projects_summary'!B11, 'Financed Projects'!$J:$J, 'Financed Projects_summary'!$H$6, 'Financed Projects'!$B:$B,  "Registered") +COUNTIFS('Financed Projects'!$E:$E, 'Financed Projects_summary'!B11, 'Financed Projects'!$J:$J, 'Financed Projects_summary'!$H$6, 'Financed Projects'!$B:$B,  "Implementation")+COUNTIFS('Financed Projects'!$E:$E, 'Financed Projects_summary'!B11, 'Financed Projects'!$J:$J, 'Financed Projects_summary'!$H$6, 'Financed Projects'!$B:$B,  "Installing")</f>
        <v>1</v>
      </c>
      <c r="I11" s="307">
        <f>COUNTIFS('Financed Projects'!$E:$E, 'Financed Projects_summary'!B11, 'Financed Projects'!$J:$J, 'Financed Projects_summary'!$I$6, 'Financed Projects'!$B:$B,  "Registered") +COUNTIFS('Financed Projects'!$E:$E, 'Financed Projects_summary'!B11, 'Financed Projects'!$J:$J, 'Financed Projects_summary'!$I$6, 'Financed Projects'!$B:$B,  "Implementation")+COUNTIFS('Financed Projects'!$E:$E, 'Financed Projects_summary'!B11, 'Financed Projects'!$J:$J, 'Financed Projects_summary'!$I$6, 'Financed Projects'!$B:$B,  "Installing")</f>
        <v>2</v>
      </c>
      <c r="J11" s="307">
        <f>COUNTIFS('Financed Projects'!$E:$E, 'Financed Projects_summary'!B11, 'Financed Projects'!$J:$J, 'Financed Projects_summary'!$J$6, 'Financed Projects'!$B:$B,  "Registered") +COUNTIFS('Financed Projects'!$E:$E, 'Financed Projects_summary'!B11, 'Financed Projects'!$J:$J, 'Financed Projects_summary'!$J$6, 'Financed Projects'!$B:$B,  "Implementation")+COUNTIFS('Financed Projects'!$E:$E, 'Financed Projects_summary'!B11, 'Financed Projects'!$J:$J, 'Financed Projects_summary'!$J$6, 'Financed Projects'!$B:$B,  "Installing")</f>
        <v>2</v>
      </c>
      <c r="K11" s="307">
        <f>COUNTIFS('Financed Projects'!$E:$E, 'Financed Projects_summary'!B11, 'Financed Projects'!$J:$J, 'Financed Projects_summary'!$K$6, 'Financed Projects'!$B:$B,  "Registered") +COUNTIFS('Financed Projects'!$E:$E, 'Financed Projects_summary'!B11, 'Financed Projects'!$J:$J, 'Financed Projects_summary'!$K$6, 'Financed Projects'!$B:$B,  "Implementation")+COUNTIFS('Financed Projects'!$E:$E, 'Financed Projects_summary'!B11, 'Financed Projects'!$J:$J, 'Financed Projects_summary'!$K$6, 'Financed Projects'!$B:$B,  "Installing")</f>
        <v>0</v>
      </c>
      <c r="L11" s="307">
        <f t="shared" si="0"/>
        <v>10</v>
      </c>
      <c r="M11" s="307">
        <f>COUNTIFS('Financed Projects'!$E:$E, 'Financed Projects_summary'!B11, 'Financed Projects'!$B:$B, "Registered")</f>
        <v>5</v>
      </c>
      <c r="N11" s="321">
        <f>SUMIFS('Financed Projects'!$L:$L, 'Financed Projects'!$E:$E, 'Financed Projects_summary'!B11, 'Financed Projects'!$B:$B, "Registered") + SUMIFS('Financed Projects'!$L:$L, 'Financed Projects'!$E:$E, 'Financed Projects_summary'!B11, 'Financed Projects'!$B:$B, "Implementation")+ SUMIFS('Financed Projects'!$L:$L, 'Financed Projects'!$E:$E, 'Financed Projects_summary'!B11, 'Financed Projects'!$B:$B, "Installing")</f>
        <v>96647</v>
      </c>
      <c r="O11" s="199"/>
    </row>
    <row r="12" spans="1:15" x14ac:dyDescent="0.2">
      <c r="A12" s="198"/>
      <c r="B12" s="307" t="s">
        <v>478</v>
      </c>
      <c r="C12" s="307">
        <f>COUNTIFS('Financed Projects'!$E:$E, 'Financed Projects_summary'!B12, 'Financed Projects'!$J:$J, 'Financed Projects_summary'!$C$6, 'Financed Projects'!$B:$B,  "Registered") +COUNTIFS('Financed Projects'!$E:$E, 'Financed Projects_summary'!B12, 'Financed Projects'!$J:$J, 'Financed Projects_summary'!$C$6, 'Financed Projects'!$B:$B,  "Implementation")+COUNTIFS('Financed Projects'!$E:$E, 'Financed Projects_summary'!B12, 'Financed Projects'!$J:$J, 'Financed Projects_summary'!$C$6, 'Financed Projects'!$B:$B,  "Installing")</f>
        <v>0</v>
      </c>
      <c r="D12" s="307">
        <f>COUNTIFS('Financed Projects'!$E:$E, 'Financed Projects_summary'!B12, 'Financed Projects'!$J:$J, 'Financed Projects_summary'!$D$6, 'Financed Projects'!$B:$B,  "Registered") +COUNTIFS('Financed Projects'!$E:$E, 'Financed Projects_summary'!B12, 'Financed Projects'!$J:$J, 'Financed Projects_summary'!$D$6, 'Financed Projects'!$B:$B,  "Implementation")+COUNTIFS('Financed Projects'!$E:$E, 'Financed Projects_summary'!B12, 'Financed Projects'!$J:$J, 'Financed Projects_summary'!$D$6, 'Financed Projects'!$B:$B,  "Installing")</f>
        <v>0</v>
      </c>
      <c r="E12" s="307">
        <f>COUNTIFS('Financed Projects'!$E:$E, 'Financed Projects_summary'!B12, 'Financed Projects'!$J:$J, 'Financed Projects_summary'!$E$6, 'Financed Projects'!$B:$B,  "Registered") +COUNTIFS('Financed Projects'!$E:$E, 'Financed Projects_summary'!B12, 'Financed Projects'!$J:$J, 'Financed Projects_summary'!$E$6, 'Financed Projects'!$B:$B,  "Implementation")+COUNTIFS('Financed Projects'!$E:$E, 'Financed Projects_summary'!B12, 'Financed Projects'!$J:$J, 'Financed Projects_summary'!$E$6, 'Financed Projects'!$B:$B,  "Installing")</f>
        <v>0</v>
      </c>
      <c r="F12" s="307">
        <f>COUNTIFS('Financed Projects'!$E:$E, 'Financed Projects_summary'!B12, 'Financed Projects'!$J:$J, 'Financed Projects_summary'!$F$6, 'Financed Projects'!$B:$B,  "Registered") +COUNTIFS('Financed Projects'!$E:$E, 'Financed Projects_summary'!B12, 'Financed Projects'!$J:$J, 'Financed Projects_summary'!$F$6, 'Financed Projects'!$B:$B,  "Implementation")+COUNTIFS('Financed Projects'!$E:$E, 'Financed Projects_summary'!B12, 'Financed Projects'!$J:$J, 'Financed Projects_summary'!$F$6, 'Financed Projects'!$B:$B,  "Installing")</f>
        <v>1</v>
      </c>
      <c r="G12" s="307">
        <f>COUNTIFS('Financed Projects'!$E:$E, 'Financed Projects_summary'!B12, 'Financed Projects'!$J:$J, 'Financed Projects_summary'!$G$6, 'Financed Projects'!$B:$B,  "Registered") +COUNTIFS('Financed Projects'!$E:$E, 'Financed Projects_summary'!B12, 'Financed Projects'!$J:$J, 'Financed Projects_summary'!$G$6, 'Financed Projects'!$B:$B,  "Implementation")+COUNTIFS('Financed Projects'!$E:$E, 'Financed Projects_summary'!B12, 'Financed Projects'!$J:$J, 'Financed Projects_summary'!$G$6, 'Financed Projects'!$B:$B,  "Installing")</f>
        <v>4</v>
      </c>
      <c r="H12" s="307">
        <f>COUNTIFS('Financed Projects'!$E:$E, 'Financed Projects_summary'!B12, 'Financed Projects'!$J:$J, 'Financed Projects_summary'!$H$6, 'Financed Projects'!$B:$B,  "Registered") +COUNTIFS('Financed Projects'!$E:$E, 'Financed Projects_summary'!B12, 'Financed Projects'!$J:$J, 'Financed Projects_summary'!$H$6, 'Financed Projects'!$B:$B,  "Implementation")+COUNTIFS('Financed Projects'!$E:$E, 'Financed Projects_summary'!B12, 'Financed Projects'!$J:$J, 'Financed Projects_summary'!$H$6, 'Financed Projects'!$B:$B,  "Installing")</f>
        <v>0</v>
      </c>
      <c r="I12" s="307">
        <f>COUNTIFS('Financed Projects'!$E:$E, 'Financed Projects_summary'!B12, 'Financed Projects'!$J:$J, 'Financed Projects_summary'!$I$6, 'Financed Projects'!$B:$B,  "Registered") +COUNTIFS('Financed Projects'!$E:$E, 'Financed Projects_summary'!B12, 'Financed Projects'!$J:$J, 'Financed Projects_summary'!$I$6, 'Financed Projects'!$B:$B,  "Implementation")+COUNTIFS('Financed Projects'!$E:$E, 'Financed Projects_summary'!B12, 'Financed Projects'!$J:$J, 'Financed Projects_summary'!$I$6, 'Financed Projects'!$B:$B,  "Installing")</f>
        <v>2</v>
      </c>
      <c r="J12" s="307">
        <f>COUNTIFS('Financed Projects'!$E:$E, 'Financed Projects_summary'!B12, 'Financed Projects'!$J:$J, 'Financed Projects_summary'!$J$6, 'Financed Projects'!$B:$B,  "Registered") +COUNTIFS('Financed Projects'!$E:$E, 'Financed Projects_summary'!B12, 'Financed Projects'!$J:$J, 'Financed Projects_summary'!$J$6, 'Financed Projects'!$B:$B,  "Implementation")+COUNTIFS('Financed Projects'!$E:$E, 'Financed Projects_summary'!B12, 'Financed Projects'!$J:$J, 'Financed Projects_summary'!$J$6, 'Financed Projects'!$B:$B,  "Installing")</f>
        <v>0</v>
      </c>
      <c r="K12" s="307">
        <f>COUNTIFS('Financed Projects'!$E:$E, 'Financed Projects_summary'!B12, 'Financed Projects'!$J:$J, 'Financed Projects_summary'!$K$6, 'Financed Projects'!$B:$B,  "Registered") +COUNTIFS('Financed Projects'!$E:$E, 'Financed Projects_summary'!B12, 'Financed Projects'!$J:$J, 'Financed Projects_summary'!$K$6, 'Financed Projects'!$B:$B,  "Implementation")+COUNTIFS('Financed Projects'!$E:$E, 'Financed Projects_summary'!B12, 'Financed Projects'!$J:$J, 'Financed Projects_summary'!$K$6, 'Financed Projects'!$B:$B,  "Installing")</f>
        <v>0</v>
      </c>
      <c r="L12" s="307">
        <f t="shared" si="0"/>
        <v>7</v>
      </c>
      <c r="M12" s="307">
        <f>COUNTIFS('Financed Projects'!$E:$E, 'Financed Projects_summary'!B12, 'Financed Projects'!$B:$B, "Registered")</f>
        <v>1</v>
      </c>
      <c r="N12" s="321">
        <f>SUMIFS('Financed Projects'!$L:$L, 'Financed Projects'!$E:$E, 'Financed Projects_summary'!B12, 'Financed Projects'!$B:$B, "Registered") + SUMIFS('Financed Projects'!$L:$L, 'Financed Projects'!$E:$E, 'Financed Projects_summary'!B12, 'Financed Projects'!$B:$B, "Implementation")+ SUMIFS('Financed Projects'!$L:$L, 'Financed Projects'!$E:$E, 'Financed Projects_summary'!B12, 'Financed Projects'!$B:$B, "Installing")</f>
        <v>35201</v>
      </c>
      <c r="O12" s="199"/>
    </row>
    <row r="13" spans="1:15" x14ac:dyDescent="0.2">
      <c r="A13" s="198"/>
      <c r="B13" s="307" t="s">
        <v>444</v>
      </c>
      <c r="C13" s="307">
        <f>COUNTIFS('Financed Projects'!$E:$E, 'Financed Projects_summary'!B13, 'Financed Projects'!$J:$J, 'Financed Projects_summary'!$C$6, 'Financed Projects'!$B:$B,  "Registered") +COUNTIFS('Financed Projects'!$E:$E, 'Financed Projects_summary'!B13, 'Financed Projects'!$J:$J, 'Financed Projects_summary'!$C$6, 'Financed Projects'!$B:$B,  "Implementation")+COUNTIFS('Financed Projects'!$E:$E, 'Financed Projects_summary'!B13, 'Financed Projects'!$J:$J, 'Financed Projects_summary'!$C$6, 'Financed Projects'!$B:$B,  "Installing")</f>
        <v>0</v>
      </c>
      <c r="D13" s="307">
        <f>COUNTIFS('Financed Projects'!$E:$E, 'Financed Projects_summary'!B13, 'Financed Projects'!$J:$J, 'Financed Projects_summary'!$D$6, 'Financed Projects'!$B:$B,  "Registered") +COUNTIFS('Financed Projects'!$E:$E, 'Financed Projects_summary'!B13, 'Financed Projects'!$J:$J, 'Financed Projects_summary'!$D$6, 'Financed Projects'!$B:$B,  "Implementation")+COUNTIFS('Financed Projects'!$E:$E, 'Financed Projects_summary'!B13, 'Financed Projects'!$J:$J, 'Financed Projects_summary'!$D$6, 'Financed Projects'!$B:$B,  "Installing")</f>
        <v>0</v>
      </c>
      <c r="E13" s="307">
        <f>COUNTIFS('Financed Projects'!$E:$E, 'Financed Projects_summary'!B13, 'Financed Projects'!$J:$J, 'Financed Projects_summary'!$E$6, 'Financed Projects'!$B:$B,  "Registered") +COUNTIFS('Financed Projects'!$E:$E, 'Financed Projects_summary'!B13, 'Financed Projects'!$J:$J, 'Financed Projects_summary'!$E$6, 'Financed Projects'!$B:$B,  "Implementation")+COUNTIFS('Financed Projects'!$E:$E, 'Financed Projects_summary'!B13, 'Financed Projects'!$J:$J, 'Financed Projects_summary'!$E$6, 'Financed Projects'!$B:$B,  "Installing")</f>
        <v>0</v>
      </c>
      <c r="F13" s="307">
        <f>COUNTIFS('Financed Projects'!$E:$E, 'Financed Projects_summary'!B13, 'Financed Projects'!$J:$J, 'Financed Projects_summary'!$F$6, 'Financed Projects'!$B:$B,  "Registered") +COUNTIFS('Financed Projects'!$E:$E, 'Financed Projects_summary'!B13, 'Financed Projects'!$J:$J, 'Financed Projects_summary'!$F$6, 'Financed Projects'!$B:$B,  "Implementation")+COUNTIFS('Financed Projects'!$E:$E, 'Financed Projects_summary'!B13, 'Financed Projects'!$J:$J, 'Financed Projects_summary'!$F$6, 'Financed Projects'!$B:$B,  "Installing")</f>
        <v>2</v>
      </c>
      <c r="G13" s="307">
        <f>COUNTIFS('Financed Projects'!$E:$E, 'Financed Projects_summary'!B13, 'Financed Projects'!$J:$J, 'Financed Projects_summary'!$G$6, 'Financed Projects'!$B:$B,  "Registered") +COUNTIFS('Financed Projects'!$E:$E, 'Financed Projects_summary'!B13, 'Financed Projects'!$J:$J, 'Financed Projects_summary'!$G$6, 'Financed Projects'!$B:$B,  "Implementation")+COUNTIFS('Financed Projects'!$E:$E, 'Financed Projects_summary'!B13, 'Financed Projects'!$J:$J, 'Financed Projects_summary'!$G$6, 'Financed Projects'!$B:$B,  "Installing")</f>
        <v>2</v>
      </c>
      <c r="H13" s="307">
        <f>COUNTIFS('Financed Projects'!$E:$E, 'Financed Projects_summary'!B13, 'Financed Projects'!$J:$J, 'Financed Projects_summary'!$H$6, 'Financed Projects'!$B:$B,  "Registered") +COUNTIFS('Financed Projects'!$E:$E, 'Financed Projects_summary'!B13, 'Financed Projects'!$J:$J, 'Financed Projects_summary'!$H$6, 'Financed Projects'!$B:$B,  "Implementation")+COUNTIFS('Financed Projects'!$E:$E, 'Financed Projects_summary'!B13, 'Financed Projects'!$J:$J, 'Financed Projects_summary'!$H$6, 'Financed Projects'!$B:$B,  "Installing")</f>
        <v>1</v>
      </c>
      <c r="I13" s="307">
        <f>COUNTIFS('Financed Projects'!$E:$E, 'Financed Projects_summary'!B13, 'Financed Projects'!$J:$J, 'Financed Projects_summary'!$I$6, 'Financed Projects'!$B:$B,  "Registered") +COUNTIFS('Financed Projects'!$E:$E, 'Financed Projects_summary'!B13, 'Financed Projects'!$J:$J, 'Financed Projects_summary'!$I$6, 'Financed Projects'!$B:$B,  "Implementation")+COUNTIFS('Financed Projects'!$E:$E, 'Financed Projects_summary'!B13, 'Financed Projects'!$J:$J, 'Financed Projects_summary'!$I$6, 'Financed Projects'!$B:$B,  "Installing")</f>
        <v>0</v>
      </c>
      <c r="J13" s="307">
        <f>COUNTIFS('Financed Projects'!$E:$E, 'Financed Projects_summary'!B13, 'Financed Projects'!$J:$J, 'Financed Projects_summary'!$J$6, 'Financed Projects'!$B:$B,  "Registered") +COUNTIFS('Financed Projects'!$E:$E, 'Financed Projects_summary'!B13, 'Financed Projects'!$J:$J, 'Financed Projects_summary'!$J$6, 'Financed Projects'!$B:$B,  "Implementation")+COUNTIFS('Financed Projects'!$E:$E, 'Financed Projects_summary'!B13, 'Financed Projects'!$J:$J, 'Financed Projects_summary'!$J$6, 'Financed Projects'!$B:$B,  "Installing")</f>
        <v>2</v>
      </c>
      <c r="K13" s="307">
        <f>COUNTIFS('Financed Projects'!$E:$E, 'Financed Projects_summary'!B13, 'Financed Projects'!$J:$J, 'Financed Projects_summary'!$K$6, 'Financed Projects'!$B:$B,  "Registered") +COUNTIFS('Financed Projects'!$E:$E, 'Financed Projects_summary'!B13, 'Financed Projects'!$J:$J, 'Financed Projects_summary'!$K$6, 'Financed Projects'!$B:$B,  "Implementation")+COUNTIFS('Financed Projects'!$E:$E, 'Financed Projects_summary'!B13, 'Financed Projects'!$J:$J, 'Financed Projects_summary'!$K$6, 'Financed Projects'!$B:$B,  "Installing")</f>
        <v>0</v>
      </c>
      <c r="L13" s="307">
        <f t="shared" si="0"/>
        <v>7</v>
      </c>
      <c r="M13" s="307">
        <f>COUNTIFS('Financed Projects'!$E:$E, 'Financed Projects_summary'!B13, 'Financed Projects'!$B:$B, "Registered")</f>
        <v>2</v>
      </c>
      <c r="N13" s="321">
        <f>SUMIFS('Financed Projects'!$L:$L, 'Financed Projects'!$E:$E, 'Financed Projects_summary'!B13, 'Financed Projects'!$B:$B, "Registered") + SUMIFS('Financed Projects'!$L:$L, 'Financed Projects'!$E:$E, 'Financed Projects_summary'!B13, 'Financed Projects'!$B:$B, "Implementation")+ SUMIFS('Financed Projects'!$L:$L, 'Financed Projects'!$E:$E, 'Financed Projects_summary'!B13, 'Financed Projects'!$B:$B, "Installing")</f>
        <v>10898</v>
      </c>
      <c r="O13" s="199"/>
    </row>
    <row r="14" spans="1:15" x14ac:dyDescent="0.2">
      <c r="A14" s="198"/>
      <c r="B14" s="307" t="s">
        <v>542</v>
      </c>
      <c r="C14" s="307">
        <f>COUNTIFS('Financed Projects'!$E:$E, 'Financed Projects_summary'!B14, 'Financed Projects'!$J:$J, 'Financed Projects_summary'!$C$6, 'Financed Projects'!$B:$B,  "Registered") +COUNTIFS('Financed Projects'!$E:$E, 'Financed Projects_summary'!B14, 'Financed Projects'!$J:$J, 'Financed Projects_summary'!$C$6, 'Financed Projects'!$B:$B,  "Implementation")+COUNTIFS('Financed Projects'!$E:$E, 'Financed Projects_summary'!B14, 'Financed Projects'!$J:$J, 'Financed Projects_summary'!$C$6, 'Financed Projects'!$B:$B,  "Installing")</f>
        <v>0</v>
      </c>
      <c r="D14" s="307">
        <f>COUNTIFS('Financed Projects'!$E:$E, 'Financed Projects_summary'!B14, 'Financed Projects'!$J:$J, 'Financed Projects_summary'!$D$6, 'Financed Projects'!$B:$B,  "Registered") +COUNTIFS('Financed Projects'!$E:$E, 'Financed Projects_summary'!B14, 'Financed Projects'!$J:$J, 'Financed Projects_summary'!$D$6, 'Financed Projects'!$B:$B,  "Implementation")+COUNTIFS('Financed Projects'!$E:$E, 'Financed Projects_summary'!B14, 'Financed Projects'!$J:$J, 'Financed Projects_summary'!$D$6, 'Financed Projects'!$B:$B,  "Installing")</f>
        <v>0</v>
      </c>
      <c r="E14" s="307">
        <f>COUNTIFS('Financed Projects'!$E:$E, 'Financed Projects_summary'!B14, 'Financed Projects'!$J:$J, 'Financed Projects_summary'!$E$6, 'Financed Projects'!$B:$B,  "Registered") +COUNTIFS('Financed Projects'!$E:$E, 'Financed Projects_summary'!B14, 'Financed Projects'!$J:$J, 'Financed Projects_summary'!$E$6, 'Financed Projects'!$B:$B,  "Implementation")+COUNTIFS('Financed Projects'!$E:$E, 'Financed Projects_summary'!B14, 'Financed Projects'!$J:$J, 'Financed Projects_summary'!$E$6, 'Financed Projects'!$B:$B,  "Installing")</f>
        <v>0</v>
      </c>
      <c r="F14" s="307">
        <f>COUNTIFS('Financed Projects'!$E:$E, 'Financed Projects_summary'!B14, 'Financed Projects'!$J:$J, 'Financed Projects_summary'!$F$6, 'Financed Projects'!$B:$B,  "Registered") +COUNTIFS('Financed Projects'!$E:$E, 'Financed Projects_summary'!B14, 'Financed Projects'!$J:$J, 'Financed Projects_summary'!$F$6, 'Financed Projects'!$B:$B,  "Implementation")+COUNTIFS('Financed Projects'!$E:$E, 'Financed Projects_summary'!B14, 'Financed Projects'!$J:$J, 'Financed Projects_summary'!$F$6, 'Financed Projects'!$B:$B,  "Installing")</f>
        <v>0</v>
      </c>
      <c r="G14" s="307">
        <f>COUNTIFS('Financed Projects'!$E:$E, 'Financed Projects_summary'!B14, 'Financed Projects'!$J:$J, 'Financed Projects_summary'!$G$6, 'Financed Projects'!$B:$B,  "Registered") +COUNTIFS('Financed Projects'!$E:$E, 'Financed Projects_summary'!B14, 'Financed Projects'!$J:$J, 'Financed Projects_summary'!$G$6, 'Financed Projects'!$B:$B,  "Implementation")+COUNTIFS('Financed Projects'!$E:$E, 'Financed Projects_summary'!B14, 'Financed Projects'!$J:$J, 'Financed Projects_summary'!$G$6, 'Financed Projects'!$B:$B,  "Installing")</f>
        <v>2</v>
      </c>
      <c r="H14" s="307">
        <f>COUNTIFS('Financed Projects'!$E:$E, 'Financed Projects_summary'!B14, 'Financed Projects'!$J:$J, 'Financed Projects_summary'!$H$6, 'Financed Projects'!$B:$B,  "Registered") +COUNTIFS('Financed Projects'!$E:$E, 'Financed Projects_summary'!B14, 'Financed Projects'!$J:$J, 'Financed Projects_summary'!$H$6, 'Financed Projects'!$B:$B,  "Implementation")+COUNTIFS('Financed Projects'!$E:$E, 'Financed Projects_summary'!B14, 'Financed Projects'!$J:$J, 'Financed Projects_summary'!$H$6, 'Financed Projects'!$B:$B,  "Installing")</f>
        <v>1</v>
      </c>
      <c r="I14" s="307">
        <f>COUNTIFS('Financed Projects'!$E:$E, 'Financed Projects_summary'!B14, 'Financed Projects'!$J:$J, 'Financed Projects_summary'!$I$6, 'Financed Projects'!$B:$B,  "Registered") +COUNTIFS('Financed Projects'!$E:$E, 'Financed Projects_summary'!B14, 'Financed Projects'!$J:$J, 'Financed Projects_summary'!$I$6, 'Financed Projects'!$B:$B,  "Implementation")+COUNTIFS('Financed Projects'!$E:$E, 'Financed Projects_summary'!B14, 'Financed Projects'!$J:$J, 'Financed Projects_summary'!$I$6, 'Financed Projects'!$B:$B,  "Installing")</f>
        <v>2</v>
      </c>
      <c r="J14" s="307">
        <f>COUNTIFS('Financed Projects'!$E:$E, 'Financed Projects_summary'!B14, 'Financed Projects'!$J:$J, 'Financed Projects_summary'!$J$6, 'Financed Projects'!$B:$B,  "Registered") +COUNTIFS('Financed Projects'!$E:$E, 'Financed Projects_summary'!B14, 'Financed Projects'!$J:$J, 'Financed Projects_summary'!$J$6, 'Financed Projects'!$B:$B,  "Implementation")+COUNTIFS('Financed Projects'!$E:$E, 'Financed Projects_summary'!B14, 'Financed Projects'!$J:$J, 'Financed Projects_summary'!$J$6, 'Financed Projects'!$B:$B,  "Installing")</f>
        <v>1</v>
      </c>
      <c r="K14" s="307">
        <f>COUNTIFS('Financed Projects'!$E:$E, 'Financed Projects_summary'!B14, 'Financed Projects'!$J:$J, 'Financed Projects_summary'!$K$6, 'Financed Projects'!$B:$B,  "Registered") +COUNTIFS('Financed Projects'!$E:$E, 'Financed Projects_summary'!B14, 'Financed Projects'!$J:$J, 'Financed Projects_summary'!$K$6, 'Financed Projects'!$B:$B,  "Implementation")+COUNTIFS('Financed Projects'!$E:$E, 'Financed Projects_summary'!B14, 'Financed Projects'!$J:$J, 'Financed Projects_summary'!$K$6, 'Financed Projects'!$B:$B,  "Installing")</f>
        <v>0</v>
      </c>
      <c r="L14" s="307">
        <f t="shared" si="0"/>
        <v>6</v>
      </c>
      <c r="M14" s="307">
        <f>COUNTIFS('Financed Projects'!$E:$E, 'Financed Projects_summary'!B14, 'Financed Projects'!$B:$B, "Registered")</f>
        <v>0</v>
      </c>
      <c r="N14" s="321">
        <f>SUMIFS('Financed Projects'!$L:$L, 'Financed Projects'!$E:$E, 'Financed Projects_summary'!B14, 'Financed Projects'!$B:$B, "Registered") + SUMIFS('Financed Projects'!$L:$L, 'Financed Projects'!$E:$E, 'Financed Projects_summary'!B14, 'Financed Projects'!$B:$B, "Implementation")+ SUMIFS('Financed Projects'!$L:$L, 'Financed Projects'!$E:$E, 'Financed Projects_summary'!B14, 'Financed Projects'!$B:$B, "Installing")</f>
        <v>136268</v>
      </c>
      <c r="O14" s="199"/>
    </row>
    <row r="15" spans="1:15" x14ac:dyDescent="0.2">
      <c r="A15" s="198"/>
      <c r="B15" s="307" t="s">
        <v>145</v>
      </c>
      <c r="C15" s="307">
        <f>COUNTIFS('Financed Projects'!$E:$E, 'Financed Projects_summary'!B15, 'Financed Projects'!$J:$J, 'Financed Projects_summary'!$C$6, 'Financed Projects'!$B:$B,  "Registered") +COUNTIFS('Financed Projects'!$E:$E, 'Financed Projects_summary'!B15, 'Financed Projects'!$J:$J, 'Financed Projects_summary'!$C$6, 'Financed Projects'!$B:$B,  "Implementation")+COUNTIFS('Financed Projects'!$E:$E, 'Financed Projects_summary'!B15, 'Financed Projects'!$J:$J, 'Financed Projects_summary'!$C$6, 'Financed Projects'!$B:$B,  "Installing")</f>
        <v>0</v>
      </c>
      <c r="D15" s="307">
        <f>COUNTIFS('Financed Projects'!$E:$E, 'Financed Projects_summary'!B15, 'Financed Projects'!$J:$J, 'Financed Projects_summary'!$D$6, 'Financed Projects'!$B:$B,  "Registered") +COUNTIFS('Financed Projects'!$E:$E, 'Financed Projects_summary'!B15, 'Financed Projects'!$J:$J, 'Financed Projects_summary'!$D$6, 'Financed Projects'!$B:$B,  "Implementation")+COUNTIFS('Financed Projects'!$E:$E, 'Financed Projects_summary'!B15, 'Financed Projects'!$J:$J, 'Financed Projects_summary'!$D$6, 'Financed Projects'!$B:$B,  "Installing")</f>
        <v>0</v>
      </c>
      <c r="E15" s="307">
        <f>COUNTIFS('Financed Projects'!$E:$E, 'Financed Projects_summary'!B15, 'Financed Projects'!$J:$J, 'Financed Projects_summary'!$E$6, 'Financed Projects'!$B:$B,  "Registered") +COUNTIFS('Financed Projects'!$E:$E, 'Financed Projects_summary'!B15, 'Financed Projects'!$J:$J, 'Financed Projects_summary'!$E$6, 'Financed Projects'!$B:$B,  "Implementation")+COUNTIFS('Financed Projects'!$E:$E, 'Financed Projects_summary'!B15, 'Financed Projects'!$J:$J, 'Financed Projects_summary'!$E$6, 'Financed Projects'!$B:$B,  "Installing")</f>
        <v>1</v>
      </c>
      <c r="F15" s="307">
        <f>COUNTIFS('Financed Projects'!$E:$E, 'Financed Projects_summary'!B15, 'Financed Projects'!$J:$J, 'Financed Projects_summary'!$F$6, 'Financed Projects'!$B:$B,  "Registered") +COUNTIFS('Financed Projects'!$E:$E, 'Financed Projects_summary'!B15, 'Financed Projects'!$J:$J, 'Financed Projects_summary'!$F$6, 'Financed Projects'!$B:$B,  "Implementation")+COUNTIFS('Financed Projects'!$E:$E, 'Financed Projects_summary'!B15, 'Financed Projects'!$J:$J, 'Financed Projects_summary'!$F$6, 'Financed Projects'!$B:$B,  "Installing")</f>
        <v>3</v>
      </c>
      <c r="G15" s="307">
        <f>COUNTIFS('Financed Projects'!$E:$E, 'Financed Projects_summary'!B15, 'Financed Projects'!$J:$J, 'Financed Projects_summary'!$G$6, 'Financed Projects'!$B:$B,  "Registered") +COUNTIFS('Financed Projects'!$E:$E, 'Financed Projects_summary'!B15, 'Financed Projects'!$J:$J, 'Financed Projects_summary'!$G$6, 'Financed Projects'!$B:$B,  "Implementation")+COUNTIFS('Financed Projects'!$E:$E, 'Financed Projects_summary'!B15, 'Financed Projects'!$J:$J, 'Financed Projects_summary'!$G$6, 'Financed Projects'!$B:$B,  "Installing")</f>
        <v>0</v>
      </c>
      <c r="H15" s="307">
        <f>COUNTIFS('Financed Projects'!$E:$E, 'Financed Projects_summary'!B15, 'Financed Projects'!$J:$J, 'Financed Projects_summary'!$H$6, 'Financed Projects'!$B:$B,  "Registered") +COUNTIFS('Financed Projects'!$E:$E, 'Financed Projects_summary'!B15, 'Financed Projects'!$J:$J, 'Financed Projects_summary'!$H$6, 'Financed Projects'!$B:$B,  "Implementation")+COUNTIFS('Financed Projects'!$E:$E, 'Financed Projects_summary'!B15, 'Financed Projects'!$J:$J, 'Financed Projects_summary'!$H$6, 'Financed Projects'!$B:$B,  "Installing")</f>
        <v>0</v>
      </c>
      <c r="I15" s="307">
        <f>COUNTIFS('Financed Projects'!$E:$E, 'Financed Projects_summary'!B15, 'Financed Projects'!$J:$J, 'Financed Projects_summary'!$I$6, 'Financed Projects'!$B:$B,  "Registered") +COUNTIFS('Financed Projects'!$E:$E, 'Financed Projects_summary'!B15, 'Financed Projects'!$J:$J, 'Financed Projects_summary'!$I$6, 'Financed Projects'!$B:$B,  "Implementation")+COUNTIFS('Financed Projects'!$E:$E, 'Financed Projects_summary'!B15, 'Financed Projects'!$J:$J, 'Financed Projects_summary'!$I$6, 'Financed Projects'!$B:$B,  "Installing")</f>
        <v>1</v>
      </c>
      <c r="J15" s="307">
        <f>COUNTIFS('Financed Projects'!$E:$E, 'Financed Projects_summary'!B15, 'Financed Projects'!$J:$J, 'Financed Projects_summary'!$J$6, 'Financed Projects'!$B:$B,  "Registered") +COUNTIFS('Financed Projects'!$E:$E, 'Financed Projects_summary'!B15, 'Financed Projects'!$J:$J, 'Financed Projects_summary'!$J$6, 'Financed Projects'!$B:$B,  "Implementation")+COUNTIFS('Financed Projects'!$E:$E, 'Financed Projects_summary'!B15, 'Financed Projects'!$J:$J, 'Financed Projects_summary'!$J$6, 'Financed Projects'!$B:$B,  "Installing")</f>
        <v>0</v>
      </c>
      <c r="K15" s="307">
        <f>COUNTIFS('Financed Projects'!$E:$E, 'Financed Projects_summary'!B15, 'Financed Projects'!$J:$J, 'Financed Projects_summary'!$K$6, 'Financed Projects'!$B:$B,  "Registered") +COUNTIFS('Financed Projects'!$E:$E, 'Financed Projects_summary'!B15, 'Financed Projects'!$J:$J, 'Financed Projects_summary'!$K$6, 'Financed Projects'!$B:$B,  "Implementation")+COUNTIFS('Financed Projects'!$E:$E, 'Financed Projects_summary'!B15, 'Financed Projects'!$J:$J, 'Financed Projects_summary'!$K$6, 'Financed Projects'!$B:$B,  "Installing")</f>
        <v>0</v>
      </c>
      <c r="L15" s="307">
        <f t="shared" si="0"/>
        <v>5</v>
      </c>
      <c r="M15" s="307">
        <f>COUNTIFS('Financed Projects'!$E:$E, 'Financed Projects_summary'!B15, 'Financed Projects'!$B:$B, "Registered")</f>
        <v>3</v>
      </c>
      <c r="N15" s="321">
        <f>SUMIFS('Financed Projects'!$L:$L, 'Financed Projects'!$E:$E, 'Financed Projects_summary'!B15, 'Financed Projects'!$B:$B, "Registered") + SUMIFS('Financed Projects'!$L:$L, 'Financed Projects'!$E:$E, 'Financed Projects_summary'!B15, 'Financed Projects'!$B:$B, "Implementation")+ SUMIFS('Financed Projects'!$L:$L, 'Financed Projects'!$E:$E, 'Financed Projects_summary'!B15, 'Financed Projects'!$B:$B, "Installing")</f>
        <v>24401</v>
      </c>
      <c r="O15" s="199"/>
    </row>
    <row r="16" spans="1:15" x14ac:dyDescent="0.2">
      <c r="A16" s="198"/>
      <c r="B16" s="307" t="s">
        <v>458</v>
      </c>
      <c r="C16" s="307">
        <f>COUNTIFS('Financed Projects'!$E:$E, 'Financed Projects_summary'!B16, 'Financed Projects'!$J:$J, 'Financed Projects_summary'!$C$6, 'Financed Projects'!$B:$B,  "Registered") +COUNTIFS('Financed Projects'!$E:$E, 'Financed Projects_summary'!B16, 'Financed Projects'!$J:$J, 'Financed Projects_summary'!$C$6, 'Financed Projects'!$B:$B,  "Implementation")+COUNTIFS('Financed Projects'!$E:$E, 'Financed Projects_summary'!B16, 'Financed Projects'!$J:$J, 'Financed Projects_summary'!$C$6, 'Financed Projects'!$B:$B,  "Installing")</f>
        <v>0</v>
      </c>
      <c r="D16" s="307">
        <f>COUNTIFS('Financed Projects'!$E:$E, 'Financed Projects_summary'!B16, 'Financed Projects'!$J:$J, 'Financed Projects_summary'!$D$6, 'Financed Projects'!$B:$B,  "Registered") +COUNTIFS('Financed Projects'!$E:$E, 'Financed Projects_summary'!B16, 'Financed Projects'!$J:$J, 'Financed Projects_summary'!$D$6, 'Financed Projects'!$B:$B,  "Implementation")+COUNTIFS('Financed Projects'!$E:$E, 'Financed Projects_summary'!B16, 'Financed Projects'!$J:$J, 'Financed Projects_summary'!$D$6, 'Financed Projects'!$B:$B,  "Installing")</f>
        <v>0</v>
      </c>
      <c r="E16" s="307">
        <f>COUNTIFS('Financed Projects'!$E:$E, 'Financed Projects_summary'!B16, 'Financed Projects'!$J:$J, 'Financed Projects_summary'!$E$6, 'Financed Projects'!$B:$B,  "Registered") +COUNTIFS('Financed Projects'!$E:$E, 'Financed Projects_summary'!B16, 'Financed Projects'!$J:$J, 'Financed Projects_summary'!$E$6, 'Financed Projects'!$B:$B,  "Implementation")+COUNTIFS('Financed Projects'!$E:$E, 'Financed Projects_summary'!B16, 'Financed Projects'!$J:$J, 'Financed Projects_summary'!$E$6, 'Financed Projects'!$B:$B,  "Installing")</f>
        <v>1</v>
      </c>
      <c r="F16" s="307">
        <f>COUNTIFS('Financed Projects'!$E:$E, 'Financed Projects_summary'!B16, 'Financed Projects'!$J:$J, 'Financed Projects_summary'!$F$6, 'Financed Projects'!$B:$B,  "Registered") +COUNTIFS('Financed Projects'!$E:$E, 'Financed Projects_summary'!B16, 'Financed Projects'!$J:$J, 'Financed Projects_summary'!$F$6, 'Financed Projects'!$B:$B,  "Implementation")+COUNTIFS('Financed Projects'!$E:$E, 'Financed Projects_summary'!B16, 'Financed Projects'!$J:$J, 'Financed Projects_summary'!$F$6, 'Financed Projects'!$B:$B,  "Installing")</f>
        <v>1</v>
      </c>
      <c r="G16" s="307">
        <f>COUNTIFS('Financed Projects'!$E:$E, 'Financed Projects_summary'!B16, 'Financed Projects'!$J:$J, 'Financed Projects_summary'!$G$6, 'Financed Projects'!$B:$B,  "Registered") +COUNTIFS('Financed Projects'!$E:$E, 'Financed Projects_summary'!B16, 'Financed Projects'!$J:$J, 'Financed Projects_summary'!$G$6, 'Financed Projects'!$B:$B,  "Implementation")+COUNTIFS('Financed Projects'!$E:$E, 'Financed Projects_summary'!B16, 'Financed Projects'!$J:$J, 'Financed Projects_summary'!$G$6, 'Financed Projects'!$B:$B,  "Installing")</f>
        <v>0</v>
      </c>
      <c r="H16" s="307">
        <f>COUNTIFS('Financed Projects'!$E:$E, 'Financed Projects_summary'!B16, 'Financed Projects'!$J:$J, 'Financed Projects_summary'!$H$6, 'Financed Projects'!$B:$B,  "Registered") +COUNTIFS('Financed Projects'!$E:$E, 'Financed Projects_summary'!B16, 'Financed Projects'!$J:$J, 'Financed Projects_summary'!$H$6, 'Financed Projects'!$B:$B,  "Implementation")+COUNTIFS('Financed Projects'!$E:$E, 'Financed Projects_summary'!B16, 'Financed Projects'!$J:$J, 'Financed Projects_summary'!$H$6, 'Financed Projects'!$B:$B,  "Installing")</f>
        <v>2</v>
      </c>
      <c r="I16" s="307">
        <f>COUNTIFS('Financed Projects'!$E:$E, 'Financed Projects_summary'!B16, 'Financed Projects'!$J:$J, 'Financed Projects_summary'!$I$6, 'Financed Projects'!$B:$B,  "Registered") +COUNTIFS('Financed Projects'!$E:$E, 'Financed Projects_summary'!B16, 'Financed Projects'!$J:$J, 'Financed Projects_summary'!$I$6, 'Financed Projects'!$B:$B,  "Implementation")+COUNTIFS('Financed Projects'!$E:$E, 'Financed Projects_summary'!B16, 'Financed Projects'!$J:$J, 'Financed Projects_summary'!$I$6, 'Financed Projects'!$B:$B,  "Installing")</f>
        <v>1</v>
      </c>
      <c r="J16" s="307">
        <f>COUNTIFS('Financed Projects'!$E:$E, 'Financed Projects_summary'!B16, 'Financed Projects'!$J:$J, 'Financed Projects_summary'!$J$6, 'Financed Projects'!$B:$B,  "Registered") +COUNTIFS('Financed Projects'!$E:$E, 'Financed Projects_summary'!B16, 'Financed Projects'!$J:$J, 'Financed Projects_summary'!$J$6, 'Financed Projects'!$B:$B,  "Implementation")+COUNTIFS('Financed Projects'!$E:$E, 'Financed Projects_summary'!B16, 'Financed Projects'!$J:$J, 'Financed Projects_summary'!$J$6, 'Financed Projects'!$B:$B,  "Installing")</f>
        <v>0</v>
      </c>
      <c r="K16" s="307">
        <f>COUNTIFS('Financed Projects'!$E:$E, 'Financed Projects_summary'!B16, 'Financed Projects'!$J:$J, 'Financed Projects_summary'!$K$6, 'Financed Projects'!$B:$B,  "Registered") +COUNTIFS('Financed Projects'!$E:$E, 'Financed Projects_summary'!B16, 'Financed Projects'!$J:$J, 'Financed Projects_summary'!$K$6, 'Financed Projects'!$B:$B,  "Implementation")+COUNTIFS('Financed Projects'!$E:$E, 'Financed Projects_summary'!B16, 'Financed Projects'!$J:$J, 'Financed Projects_summary'!$K$6, 'Financed Projects'!$B:$B,  "Installing")</f>
        <v>1</v>
      </c>
      <c r="L16" s="307">
        <f t="shared" si="0"/>
        <v>6</v>
      </c>
      <c r="M16" s="307">
        <f>COUNTIFS('Financed Projects'!$E:$E, 'Financed Projects_summary'!B16, 'Financed Projects'!$B:$B, "Registered")</f>
        <v>1</v>
      </c>
      <c r="N16" s="321">
        <f>SUMIFS('Financed Projects'!$L:$L, 'Financed Projects'!$E:$E, 'Financed Projects_summary'!B16, 'Financed Projects'!$B:$B, "Registered") + SUMIFS('Financed Projects'!$L:$L, 'Financed Projects'!$E:$E, 'Financed Projects_summary'!B16, 'Financed Projects'!$B:$B, "Implementation")+ SUMIFS('Financed Projects'!$L:$L, 'Financed Projects'!$E:$E, 'Financed Projects_summary'!B16, 'Financed Projects'!$B:$B, "Installing")</f>
        <v>166905</v>
      </c>
      <c r="O16" s="199"/>
    </row>
    <row r="17" spans="1:15" x14ac:dyDescent="0.2">
      <c r="A17" s="198"/>
      <c r="B17" s="307" t="s">
        <v>548</v>
      </c>
      <c r="C17" s="307">
        <f>COUNTIFS('Financed Projects'!$E:$E, 'Financed Projects_summary'!B17, 'Financed Projects'!$J:$J, 'Financed Projects_summary'!$C$6, 'Financed Projects'!$B:$B,  "Registered") +COUNTIFS('Financed Projects'!$E:$E, 'Financed Projects_summary'!B17, 'Financed Projects'!$J:$J, 'Financed Projects_summary'!$C$6, 'Financed Projects'!$B:$B,  "Implementation")+COUNTIFS('Financed Projects'!$E:$E, 'Financed Projects_summary'!B17, 'Financed Projects'!$J:$J, 'Financed Projects_summary'!$C$6, 'Financed Projects'!$B:$B,  "Installing")</f>
        <v>0</v>
      </c>
      <c r="D17" s="307">
        <f>COUNTIFS('Financed Projects'!$E:$E, 'Financed Projects_summary'!B17, 'Financed Projects'!$J:$J, 'Financed Projects_summary'!$D$6, 'Financed Projects'!$B:$B,  "Registered") +COUNTIFS('Financed Projects'!$E:$E, 'Financed Projects_summary'!B17, 'Financed Projects'!$J:$J, 'Financed Projects_summary'!$D$6, 'Financed Projects'!$B:$B,  "Implementation")+COUNTIFS('Financed Projects'!$E:$E, 'Financed Projects_summary'!B17, 'Financed Projects'!$J:$J, 'Financed Projects_summary'!$D$6, 'Financed Projects'!$B:$B,  "Installing")</f>
        <v>1</v>
      </c>
      <c r="E17" s="307">
        <f>COUNTIFS('Financed Projects'!$E:$E, 'Financed Projects_summary'!B17, 'Financed Projects'!$J:$J, 'Financed Projects_summary'!$E$6, 'Financed Projects'!$B:$B,  "Registered") +COUNTIFS('Financed Projects'!$E:$E, 'Financed Projects_summary'!B17, 'Financed Projects'!$J:$J, 'Financed Projects_summary'!$E$6, 'Financed Projects'!$B:$B,  "Implementation")+COUNTIFS('Financed Projects'!$E:$E, 'Financed Projects_summary'!B17, 'Financed Projects'!$J:$J, 'Financed Projects_summary'!$E$6, 'Financed Projects'!$B:$B,  "Installing")</f>
        <v>2</v>
      </c>
      <c r="F17" s="307">
        <f>COUNTIFS('Financed Projects'!$E:$E, 'Financed Projects_summary'!B17, 'Financed Projects'!$J:$J, 'Financed Projects_summary'!$F$6, 'Financed Projects'!$B:$B,  "Registered") +COUNTIFS('Financed Projects'!$E:$E, 'Financed Projects_summary'!B17, 'Financed Projects'!$J:$J, 'Financed Projects_summary'!$F$6, 'Financed Projects'!$B:$B,  "Implementation")+COUNTIFS('Financed Projects'!$E:$E, 'Financed Projects_summary'!B17, 'Financed Projects'!$J:$J, 'Financed Projects_summary'!$F$6, 'Financed Projects'!$B:$B,  "Installing")</f>
        <v>0</v>
      </c>
      <c r="G17" s="307">
        <f>COUNTIFS('Financed Projects'!$E:$E, 'Financed Projects_summary'!B17, 'Financed Projects'!$J:$J, 'Financed Projects_summary'!$G$6, 'Financed Projects'!$B:$B,  "Registered") +COUNTIFS('Financed Projects'!$E:$E, 'Financed Projects_summary'!B17, 'Financed Projects'!$J:$J, 'Financed Projects_summary'!$G$6, 'Financed Projects'!$B:$B,  "Implementation")+COUNTIFS('Financed Projects'!$E:$E, 'Financed Projects_summary'!B17, 'Financed Projects'!$J:$J, 'Financed Projects_summary'!$G$6, 'Financed Projects'!$B:$B,  "Installing")</f>
        <v>0</v>
      </c>
      <c r="H17" s="307">
        <f>COUNTIFS('Financed Projects'!$E:$E, 'Financed Projects_summary'!B17, 'Financed Projects'!$J:$J, 'Financed Projects_summary'!$H$6, 'Financed Projects'!$B:$B,  "Registered") +COUNTIFS('Financed Projects'!$E:$E, 'Financed Projects_summary'!B17, 'Financed Projects'!$J:$J, 'Financed Projects_summary'!$H$6, 'Financed Projects'!$B:$B,  "Implementation")+COUNTIFS('Financed Projects'!$E:$E, 'Financed Projects_summary'!B17, 'Financed Projects'!$J:$J, 'Financed Projects_summary'!$H$6, 'Financed Projects'!$B:$B,  "Installing")</f>
        <v>0</v>
      </c>
      <c r="I17" s="307">
        <f>COUNTIFS('Financed Projects'!$E:$E, 'Financed Projects_summary'!B17, 'Financed Projects'!$J:$J, 'Financed Projects_summary'!$I$6, 'Financed Projects'!$B:$B,  "Registered") +COUNTIFS('Financed Projects'!$E:$E, 'Financed Projects_summary'!B17, 'Financed Projects'!$J:$J, 'Financed Projects_summary'!$I$6, 'Financed Projects'!$B:$B,  "Implementation")+COUNTIFS('Financed Projects'!$E:$E, 'Financed Projects_summary'!B17, 'Financed Projects'!$J:$J, 'Financed Projects_summary'!$I$6, 'Financed Projects'!$B:$B,  "Installing")</f>
        <v>1</v>
      </c>
      <c r="J17" s="307">
        <f>COUNTIFS('Financed Projects'!$E:$E, 'Financed Projects_summary'!B17, 'Financed Projects'!$J:$J, 'Financed Projects_summary'!$J$6, 'Financed Projects'!$B:$B,  "Registered") +COUNTIFS('Financed Projects'!$E:$E, 'Financed Projects_summary'!B17, 'Financed Projects'!$J:$J, 'Financed Projects_summary'!$J$6, 'Financed Projects'!$B:$B,  "Implementation")+COUNTIFS('Financed Projects'!$E:$E, 'Financed Projects_summary'!B17, 'Financed Projects'!$J:$J, 'Financed Projects_summary'!$J$6, 'Financed Projects'!$B:$B,  "Installing")</f>
        <v>1</v>
      </c>
      <c r="K17" s="307">
        <f>COUNTIFS('Financed Projects'!$E:$E, 'Financed Projects_summary'!B17, 'Financed Projects'!$J:$J, 'Financed Projects_summary'!$K$6, 'Financed Projects'!$B:$B,  "Registered") +COUNTIFS('Financed Projects'!$E:$E, 'Financed Projects_summary'!B17, 'Financed Projects'!$J:$J, 'Financed Projects_summary'!$K$6, 'Financed Projects'!$B:$B,  "Implementation")+COUNTIFS('Financed Projects'!$E:$E, 'Financed Projects_summary'!B17, 'Financed Projects'!$J:$J, 'Financed Projects_summary'!$K$6, 'Financed Projects'!$B:$B,  "Installing")</f>
        <v>0</v>
      </c>
      <c r="L17" s="307">
        <f t="shared" si="0"/>
        <v>5</v>
      </c>
      <c r="M17" s="307">
        <f>COUNTIFS('Financed Projects'!$E:$E, 'Financed Projects_summary'!B17, 'Financed Projects'!$B:$B, "Registered")</f>
        <v>3</v>
      </c>
      <c r="N17" s="321">
        <f>SUMIFS('Financed Projects'!$L:$L, 'Financed Projects'!$E:$E, 'Financed Projects_summary'!B17, 'Financed Projects'!$B:$B, "Registered") + SUMIFS('Financed Projects'!$L:$L, 'Financed Projects'!$E:$E, 'Financed Projects_summary'!B17, 'Financed Projects'!$B:$B, "Implementation")+ SUMIFS('Financed Projects'!$L:$L, 'Financed Projects'!$E:$E, 'Financed Projects_summary'!B17, 'Financed Projects'!$B:$B, "Installing")</f>
        <v>1829</v>
      </c>
      <c r="O17" s="199"/>
    </row>
    <row r="18" spans="1:15" x14ac:dyDescent="0.2">
      <c r="A18" s="198"/>
      <c r="B18" s="307" t="s">
        <v>183</v>
      </c>
      <c r="C18" s="307">
        <f>COUNTIFS('Financed Projects'!$E:$E, 'Financed Projects_summary'!B18, 'Financed Projects'!$J:$J, 'Financed Projects_summary'!$C$6, 'Financed Projects'!$B:$B,  "Registered") +COUNTIFS('Financed Projects'!$E:$E, 'Financed Projects_summary'!B18, 'Financed Projects'!$J:$J, 'Financed Projects_summary'!$C$6, 'Financed Projects'!$B:$B,  "Implementation")+COUNTIFS('Financed Projects'!$E:$E, 'Financed Projects_summary'!B18, 'Financed Projects'!$J:$J, 'Financed Projects_summary'!$C$6, 'Financed Projects'!$B:$B,  "Installing")</f>
        <v>0</v>
      </c>
      <c r="D18" s="307">
        <f>COUNTIFS('Financed Projects'!$E:$E, 'Financed Projects_summary'!B18, 'Financed Projects'!$J:$J, 'Financed Projects_summary'!$D$6, 'Financed Projects'!$B:$B,  "Registered") +COUNTIFS('Financed Projects'!$E:$E, 'Financed Projects_summary'!B18, 'Financed Projects'!$J:$J, 'Financed Projects_summary'!$D$6, 'Financed Projects'!$B:$B,  "Implementation")+COUNTIFS('Financed Projects'!$E:$E, 'Financed Projects_summary'!B18, 'Financed Projects'!$J:$J, 'Financed Projects_summary'!$D$6, 'Financed Projects'!$B:$B,  "Installing")</f>
        <v>0</v>
      </c>
      <c r="E18" s="307">
        <f>COUNTIFS('Financed Projects'!$E:$E, 'Financed Projects_summary'!B18, 'Financed Projects'!$J:$J, 'Financed Projects_summary'!$E$6, 'Financed Projects'!$B:$B,  "Registered") +COUNTIFS('Financed Projects'!$E:$E, 'Financed Projects_summary'!B18, 'Financed Projects'!$J:$J, 'Financed Projects_summary'!$E$6, 'Financed Projects'!$B:$B,  "Implementation")+COUNTIFS('Financed Projects'!$E:$E, 'Financed Projects_summary'!B18, 'Financed Projects'!$J:$J, 'Financed Projects_summary'!$E$6, 'Financed Projects'!$B:$B,  "Installing")</f>
        <v>0</v>
      </c>
      <c r="F18" s="307">
        <f>COUNTIFS('Financed Projects'!$E:$E, 'Financed Projects_summary'!B18, 'Financed Projects'!$J:$J, 'Financed Projects_summary'!$F$6, 'Financed Projects'!$B:$B,  "Registered") +COUNTIFS('Financed Projects'!$E:$E, 'Financed Projects_summary'!B18, 'Financed Projects'!$J:$J, 'Financed Projects_summary'!$F$6, 'Financed Projects'!$B:$B,  "Implementation")+COUNTIFS('Financed Projects'!$E:$E, 'Financed Projects_summary'!B18, 'Financed Projects'!$J:$J, 'Financed Projects_summary'!$F$6, 'Financed Projects'!$B:$B,  "Installing")</f>
        <v>0</v>
      </c>
      <c r="G18" s="307">
        <f>COUNTIFS('Financed Projects'!$E:$E, 'Financed Projects_summary'!B18, 'Financed Projects'!$J:$J, 'Financed Projects_summary'!$G$6, 'Financed Projects'!$B:$B,  "Registered") +COUNTIFS('Financed Projects'!$E:$E, 'Financed Projects_summary'!B18, 'Financed Projects'!$J:$J, 'Financed Projects_summary'!$G$6, 'Financed Projects'!$B:$B,  "Implementation")+COUNTIFS('Financed Projects'!$E:$E, 'Financed Projects_summary'!B18, 'Financed Projects'!$J:$J, 'Financed Projects_summary'!$G$6, 'Financed Projects'!$B:$B,  "Installing")</f>
        <v>1</v>
      </c>
      <c r="H18" s="307">
        <f>COUNTIFS('Financed Projects'!$E:$E, 'Financed Projects_summary'!B18, 'Financed Projects'!$J:$J, 'Financed Projects_summary'!$H$6, 'Financed Projects'!$B:$B,  "Registered") +COUNTIFS('Financed Projects'!$E:$E, 'Financed Projects_summary'!B18, 'Financed Projects'!$J:$J, 'Financed Projects_summary'!$H$6, 'Financed Projects'!$B:$B,  "Implementation")+COUNTIFS('Financed Projects'!$E:$E, 'Financed Projects_summary'!B18, 'Financed Projects'!$J:$J, 'Financed Projects_summary'!$H$6, 'Financed Projects'!$B:$B,  "Installing")</f>
        <v>0</v>
      </c>
      <c r="I18" s="307">
        <f>COUNTIFS('Financed Projects'!$E:$E, 'Financed Projects_summary'!B18, 'Financed Projects'!$J:$J, 'Financed Projects_summary'!$I$6, 'Financed Projects'!$B:$B,  "Registered") +COUNTIFS('Financed Projects'!$E:$E, 'Financed Projects_summary'!B18, 'Financed Projects'!$J:$J, 'Financed Projects_summary'!$I$6, 'Financed Projects'!$B:$B,  "Implementation")+COUNTIFS('Financed Projects'!$E:$E, 'Financed Projects_summary'!B18, 'Financed Projects'!$J:$J, 'Financed Projects_summary'!$I$6, 'Financed Projects'!$B:$B,  "Installing")</f>
        <v>1</v>
      </c>
      <c r="J18" s="307">
        <f>COUNTIFS('Financed Projects'!$E:$E, 'Financed Projects_summary'!B18, 'Financed Projects'!$J:$J, 'Financed Projects_summary'!$J$6, 'Financed Projects'!$B:$B,  "Registered") +COUNTIFS('Financed Projects'!$E:$E, 'Financed Projects_summary'!B18, 'Financed Projects'!$J:$J, 'Financed Projects_summary'!$J$6, 'Financed Projects'!$B:$B,  "Implementation")+COUNTIFS('Financed Projects'!$E:$E, 'Financed Projects_summary'!B18, 'Financed Projects'!$J:$J, 'Financed Projects_summary'!$J$6, 'Financed Projects'!$B:$B,  "Installing")</f>
        <v>2</v>
      </c>
      <c r="K18" s="307">
        <f>COUNTIFS('Financed Projects'!$E:$E, 'Financed Projects_summary'!B18, 'Financed Projects'!$J:$J, 'Financed Projects_summary'!$K$6, 'Financed Projects'!$B:$B,  "Registered") +COUNTIFS('Financed Projects'!$E:$E, 'Financed Projects_summary'!B18, 'Financed Projects'!$J:$J, 'Financed Projects_summary'!$K$6, 'Financed Projects'!$B:$B,  "Implementation")+COUNTIFS('Financed Projects'!$E:$E, 'Financed Projects_summary'!B18, 'Financed Projects'!$J:$J, 'Financed Projects_summary'!$K$6, 'Financed Projects'!$B:$B,  "Installing")</f>
        <v>0</v>
      </c>
      <c r="L18" s="307">
        <f t="shared" si="0"/>
        <v>4</v>
      </c>
      <c r="M18" s="307">
        <f>COUNTIFS('Financed Projects'!$E:$E, 'Financed Projects_summary'!B18, 'Financed Projects'!$B:$B, "Registered")</f>
        <v>1</v>
      </c>
      <c r="N18" s="321">
        <f>SUMIFS('Financed Projects'!$L:$L, 'Financed Projects'!$E:$E, 'Financed Projects_summary'!B18, 'Financed Projects'!$B:$B, "Registered") + SUMIFS('Financed Projects'!$L:$L, 'Financed Projects'!$E:$E, 'Financed Projects_summary'!B18, 'Financed Projects'!$B:$B, "Implementation")+ SUMIFS('Financed Projects'!$L:$L, 'Financed Projects'!$E:$E, 'Financed Projects_summary'!B18, 'Financed Projects'!$B:$B, "Installing")</f>
        <v>12480</v>
      </c>
      <c r="O18" s="199"/>
    </row>
    <row r="19" spans="1:15" x14ac:dyDescent="0.2">
      <c r="A19" s="198"/>
      <c r="B19" s="307" t="s">
        <v>430</v>
      </c>
      <c r="C19" s="307">
        <f>COUNTIFS('Financed Projects'!$E:$E, 'Financed Projects_summary'!B19, 'Financed Projects'!$J:$J, 'Financed Projects_summary'!$C$6, 'Financed Projects'!$B:$B,  "Registered") +COUNTIFS('Financed Projects'!$E:$E, 'Financed Projects_summary'!B19, 'Financed Projects'!$J:$J, 'Financed Projects_summary'!$C$6, 'Financed Projects'!$B:$B,  "Implementation")+COUNTIFS('Financed Projects'!$E:$E, 'Financed Projects_summary'!B19, 'Financed Projects'!$J:$J, 'Financed Projects_summary'!$C$6, 'Financed Projects'!$B:$B,  "Installing")</f>
        <v>1</v>
      </c>
      <c r="D19" s="307">
        <f>COUNTIFS('Financed Projects'!$E:$E, 'Financed Projects_summary'!B19, 'Financed Projects'!$J:$J, 'Financed Projects_summary'!$D$6, 'Financed Projects'!$B:$B,  "Registered") +COUNTIFS('Financed Projects'!$E:$E, 'Financed Projects_summary'!B19, 'Financed Projects'!$J:$J, 'Financed Projects_summary'!$D$6, 'Financed Projects'!$B:$B,  "Implementation")+COUNTIFS('Financed Projects'!$E:$E, 'Financed Projects_summary'!B19, 'Financed Projects'!$J:$J, 'Financed Projects_summary'!$D$6, 'Financed Projects'!$B:$B,  "Installing")</f>
        <v>0</v>
      </c>
      <c r="E19" s="307">
        <f>COUNTIFS('Financed Projects'!$E:$E, 'Financed Projects_summary'!B19, 'Financed Projects'!$J:$J, 'Financed Projects_summary'!$E$6, 'Financed Projects'!$B:$B,  "Registered") +COUNTIFS('Financed Projects'!$E:$E, 'Financed Projects_summary'!B19, 'Financed Projects'!$J:$J, 'Financed Projects_summary'!$E$6, 'Financed Projects'!$B:$B,  "Implementation")+COUNTIFS('Financed Projects'!$E:$E, 'Financed Projects_summary'!B19, 'Financed Projects'!$J:$J, 'Financed Projects_summary'!$E$6, 'Financed Projects'!$B:$B,  "Installing")</f>
        <v>0</v>
      </c>
      <c r="F19" s="307">
        <f>COUNTIFS('Financed Projects'!$E:$E, 'Financed Projects_summary'!B19, 'Financed Projects'!$J:$J, 'Financed Projects_summary'!$F$6, 'Financed Projects'!$B:$B,  "Registered") +COUNTIFS('Financed Projects'!$E:$E, 'Financed Projects_summary'!B19, 'Financed Projects'!$J:$J, 'Financed Projects_summary'!$F$6, 'Financed Projects'!$B:$B,  "Implementation")+COUNTIFS('Financed Projects'!$E:$E, 'Financed Projects_summary'!B19, 'Financed Projects'!$J:$J, 'Financed Projects_summary'!$F$6, 'Financed Projects'!$B:$B,  "Installing")</f>
        <v>1</v>
      </c>
      <c r="G19" s="307">
        <f>COUNTIFS('Financed Projects'!$E:$E, 'Financed Projects_summary'!B19, 'Financed Projects'!$J:$J, 'Financed Projects_summary'!$G$6, 'Financed Projects'!$B:$B,  "Registered") +COUNTIFS('Financed Projects'!$E:$E, 'Financed Projects_summary'!B19, 'Financed Projects'!$J:$J, 'Financed Projects_summary'!$G$6, 'Financed Projects'!$B:$B,  "Implementation")+COUNTIFS('Financed Projects'!$E:$E, 'Financed Projects_summary'!B19, 'Financed Projects'!$J:$J, 'Financed Projects_summary'!$G$6, 'Financed Projects'!$B:$B,  "Installing")</f>
        <v>0</v>
      </c>
      <c r="H19" s="307">
        <f>COUNTIFS('Financed Projects'!$E:$E, 'Financed Projects_summary'!B19, 'Financed Projects'!$J:$J, 'Financed Projects_summary'!$H$6, 'Financed Projects'!$B:$B,  "Registered") +COUNTIFS('Financed Projects'!$E:$E, 'Financed Projects_summary'!B19, 'Financed Projects'!$J:$J, 'Financed Projects_summary'!$H$6, 'Financed Projects'!$B:$B,  "Implementation")+COUNTIFS('Financed Projects'!$E:$E, 'Financed Projects_summary'!B19, 'Financed Projects'!$J:$J, 'Financed Projects_summary'!$H$6, 'Financed Projects'!$B:$B,  "Installing")</f>
        <v>0</v>
      </c>
      <c r="I19" s="307">
        <f>COUNTIFS('Financed Projects'!$E:$E, 'Financed Projects_summary'!B19, 'Financed Projects'!$J:$J, 'Financed Projects_summary'!$I$6, 'Financed Projects'!$B:$B,  "Registered") +COUNTIFS('Financed Projects'!$E:$E, 'Financed Projects_summary'!B19, 'Financed Projects'!$J:$J, 'Financed Projects_summary'!$I$6, 'Financed Projects'!$B:$B,  "Implementation")+COUNTIFS('Financed Projects'!$E:$E, 'Financed Projects_summary'!B19, 'Financed Projects'!$J:$J, 'Financed Projects_summary'!$I$6, 'Financed Projects'!$B:$B,  "Installing")</f>
        <v>1</v>
      </c>
      <c r="J19" s="307">
        <f>COUNTIFS('Financed Projects'!$E:$E, 'Financed Projects_summary'!B19, 'Financed Projects'!$J:$J, 'Financed Projects_summary'!$J$6, 'Financed Projects'!$B:$B,  "Registered") +COUNTIFS('Financed Projects'!$E:$E, 'Financed Projects_summary'!B19, 'Financed Projects'!$J:$J, 'Financed Projects_summary'!$J$6, 'Financed Projects'!$B:$B,  "Implementation")+COUNTIFS('Financed Projects'!$E:$E, 'Financed Projects_summary'!B19, 'Financed Projects'!$J:$J, 'Financed Projects_summary'!$J$6, 'Financed Projects'!$B:$B,  "Installing")</f>
        <v>0</v>
      </c>
      <c r="K19" s="307">
        <f>COUNTIFS('Financed Projects'!$E:$E, 'Financed Projects_summary'!B19, 'Financed Projects'!$J:$J, 'Financed Projects_summary'!$K$6, 'Financed Projects'!$B:$B,  "Registered") +COUNTIFS('Financed Projects'!$E:$E, 'Financed Projects_summary'!B19, 'Financed Projects'!$J:$J, 'Financed Projects_summary'!$K$6, 'Financed Projects'!$B:$B,  "Implementation")+COUNTIFS('Financed Projects'!$E:$E, 'Financed Projects_summary'!B19, 'Financed Projects'!$J:$J, 'Financed Projects_summary'!$K$6, 'Financed Projects'!$B:$B,  "Installing")</f>
        <v>0</v>
      </c>
      <c r="L19" s="307">
        <f t="shared" si="0"/>
        <v>3</v>
      </c>
      <c r="M19" s="307">
        <f>COUNTIFS('Financed Projects'!$E:$E, 'Financed Projects_summary'!B19, 'Financed Projects'!$B:$B, "Registered")</f>
        <v>2</v>
      </c>
      <c r="N19" s="321">
        <f>SUMIFS('Financed Projects'!$L:$L, 'Financed Projects'!$E:$E, 'Financed Projects_summary'!B19, 'Financed Projects'!$B:$B, "Registered") + SUMIFS('Financed Projects'!$L:$L, 'Financed Projects'!$E:$E, 'Financed Projects_summary'!B19, 'Financed Projects'!$B:$B, "Implementation")+ SUMIFS('Financed Projects'!$L:$L, 'Financed Projects'!$E:$E, 'Financed Projects_summary'!B19, 'Financed Projects'!$B:$B, "Installing")</f>
        <v>56664</v>
      </c>
      <c r="O19" s="199"/>
    </row>
    <row r="20" spans="1:15" x14ac:dyDescent="0.2">
      <c r="A20" s="198"/>
      <c r="B20" s="307" t="s">
        <v>536</v>
      </c>
      <c r="C20" s="307">
        <f>COUNTIFS('Financed Projects'!$E:$E, 'Financed Projects_summary'!B20, 'Financed Projects'!$J:$J, 'Financed Projects_summary'!$C$6, 'Financed Projects'!$B:$B,  "Registered") +COUNTIFS('Financed Projects'!$E:$E, 'Financed Projects_summary'!B20, 'Financed Projects'!$J:$J, 'Financed Projects_summary'!$C$6, 'Financed Projects'!$B:$B,  "Implementation")+COUNTIFS('Financed Projects'!$E:$E, 'Financed Projects_summary'!B20, 'Financed Projects'!$J:$J, 'Financed Projects_summary'!$C$6, 'Financed Projects'!$B:$B,  "Installing")</f>
        <v>0</v>
      </c>
      <c r="D20" s="307">
        <f>COUNTIFS('Financed Projects'!$E:$E, 'Financed Projects_summary'!B20, 'Financed Projects'!$J:$J, 'Financed Projects_summary'!$D$6, 'Financed Projects'!$B:$B,  "Registered") +COUNTIFS('Financed Projects'!$E:$E, 'Financed Projects_summary'!B20, 'Financed Projects'!$J:$J, 'Financed Projects_summary'!$D$6, 'Financed Projects'!$B:$B,  "Implementation")+COUNTIFS('Financed Projects'!$E:$E, 'Financed Projects_summary'!B20, 'Financed Projects'!$J:$J, 'Financed Projects_summary'!$D$6, 'Financed Projects'!$B:$B,  "Installing")</f>
        <v>0</v>
      </c>
      <c r="E20" s="307">
        <f>COUNTIFS('Financed Projects'!$E:$E, 'Financed Projects_summary'!B20, 'Financed Projects'!$J:$J, 'Financed Projects_summary'!$E$6, 'Financed Projects'!$B:$B,  "Registered") +COUNTIFS('Financed Projects'!$E:$E, 'Financed Projects_summary'!B20, 'Financed Projects'!$J:$J, 'Financed Projects_summary'!$E$6, 'Financed Projects'!$B:$B,  "Implementation")+COUNTIFS('Financed Projects'!$E:$E, 'Financed Projects_summary'!B20, 'Financed Projects'!$J:$J, 'Financed Projects_summary'!$E$6, 'Financed Projects'!$B:$B,  "Installing")</f>
        <v>2</v>
      </c>
      <c r="F20" s="307">
        <f>COUNTIFS('Financed Projects'!$E:$E, 'Financed Projects_summary'!B20, 'Financed Projects'!$J:$J, 'Financed Projects_summary'!$F$6, 'Financed Projects'!$B:$B,  "Registered") +COUNTIFS('Financed Projects'!$E:$E, 'Financed Projects_summary'!B20, 'Financed Projects'!$J:$J, 'Financed Projects_summary'!$F$6, 'Financed Projects'!$B:$B,  "Implementation")+COUNTIFS('Financed Projects'!$E:$E, 'Financed Projects_summary'!B20, 'Financed Projects'!$J:$J, 'Financed Projects_summary'!$F$6, 'Financed Projects'!$B:$B,  "Installing")</f>
        <v>0</v>
      </c>
      <c r="G20" s="307">
        <f>COUNTIFS('Financed Projects'!$E:$E, 'Financed Projects_summary'!B20, 'Financed Projects'!$J:$J, 'Financed Projects_summary'!$G$6, 'Financed Projects'!$B:$B,  "Registered") +COUNTIFS('Financed Projects'!$E:$E, 'Financed Projects_summary'!B20, 'Financed Projects'!$J:$J, 'Financed Projects_summary'!$G$6, 'Financed Projects'!$B:$B,  "Implementation")+COUNTIFS('Financed Projects'!$E:$E, 'Financed Projects_summary'!B20, 'Financed Projects'!$J:$J, 'Financed Projects_summary'!$G$6, 'Financed Projects'!$B:$B,  "Installing")</f>
        <v>0</v>
      </c>
      <c r="H20" s="307">
        <f>COUNTIFS('Financed Projects'!$E:$E, 'Financed Projects_summary'!B20, 'Financed Projects'!$J:$J, 'Financed Projects_summary'!$H$6, 'Financed Projects'!$B:$B,  "Registered") +COUNTIFS('Financed Projects'!$E:$E, 'Financed Projects_summary'!B20, 'Financed Projects'!$J:$J, 'Financed Projects_summary'!$H$6, 'Financed Projects'!$B:$B,  "Implementation")+COUNTIFS('Financed Projects'!$E:$E, 'Financed Projects_summary'!B20, 'Financed Projects'!$J:$J, 'Financed Projects_summary'!$H$6, 'Financed Projects'!$B:$B,  "Installing")</f>
        <v>0</v>
      </c>
      <c r="I20" s="307">
        <f>COUNTIFS('Financed Projects'!$E:$E, 'Financed Projects_summary'!B20, 'Financed Projects'!$J:$J, 'Financed Projects_summary'!$I$6, 'Financed Projects'!$B:$B,  "Registered") +COUNTIFS('Financed Projects'!$E:$E, 'Financed Projects_summary'!B20, 'Financed Projects'!$J:$J, 'Financed Projects_summary'!$I$6, 'Financed Projects'!$B:$B,  "Implementation")+COUNTIFS('Financed Projects'!$E:$E, 'Financed Projects_summary'!B20, 'Financed Projects'!$J:$J, 'Financed Projects_summary'!$I$6, 'Financed Projects'!$B:$B,  "Installing")</f>
        <v>0</v>
      </c>
      <c r="J20" s="307">
        <f>COUNTIFS('Financed Projects'!$E:$E, 'Financed Projects_summary'!B20, 'Financed Projects'!$J:$J, 'Financed Projects_summary'!$J$6, 'Financed Projects'!$B:$B,  "Registered") +COUNTIFS('Financed Projects'!$E:$E, 'Financed Projects_summary'!B20, 'Financed Projects'!$J:$J, 'Financed Projects_summary'!$J$6, 'Financed Projects'!$B:$B,  "Implementation")+COUNTIFS('Financed Projects'!$E:$E, 'Financed Projects_summary'!B20, 'Financed Projects'!$J:$J, 'Financed Projects_summary'!$J$6, 'Financed Projects'!$B:$B,  "Installing")</f>
        <v>0</v>
      </c>
      <c r="K20" s="307">
        <f>COUNTIFS('Financed Projects'!$E:$E, 'Financed Projects_summary'!B20, 'Financed Projects'!$J:$J, 'Financed Projects_summary'!$K$6, 'Financed Projects'!$B:$B,  "Registered") +COUNTIFS('Financed Projects'!$E:$E, 'Financed Projects_summary'!B20, 'Financed Projects'!$J:$J, 'Financed Projects_summary'!$K$6, 'Financed Projects'!$B:$B,  "Implementation")+COUNTIFS('Financed Projects'!$E:$E, 'Financed Projects_summary'!B20, 'Financed Projects'!$J:$J, 'Financed Projects_summary'!$K$6, 'Financed Projects'!$B:$B,  "Installing")</f>
        <v>1</v>
      </c>
      <c r="L20" s="307">
        <f t="shared" si="0"/>
        <v>3</v>
      </c>
      <c r="M20" s="307">
        <f>COUNTIFS('Financed Projects'!$E:$E, 'Financed Projects_summary'!B20, 'Financed Projects'!$B:$B, "Registered")</f>
        <v>1</v>
      </c>
      <c r="N20" s="321">
        <f>SUMIFS('Financed Projects'!$L:$L, 'Financed Projects'!$E:$E, 'Financed Projects_summary'!B20, 'Financed Projects'!$B:$B, "Registered") + SUMIFS('Financed Projects'!$L:$L, 'Financed Projects'!$E:$E, 'Financed Projects_summary'!B20, 'Financed Projects'!$B:$B, "Implementation")+ SUMIFS('Financed Projects'!$L:$L, 'Financed Projects'!$E:$E, 'Financed Projects_summary'!B20, 'Financed Projects'!$B:$B, "Installing")</f>
        <v>44531</v>
      </c>
      <c r="O20" s="199"/>
    </row>
    <row r="21" spans="1:15" x14ac:dyDescent="0.2">
      <c r="A21" s="198"/>
      <c r="B21" s="307" t="s">
        <v>188</v>
      </c>
      <c r="C21" s="307">
        <f>COUNTIFS('Financed Projects'!$E:$E, 'Financed Projects_summary'!B21, 'Financed Projects'!$J:$J, 'Financed Projects_summary'!$C$6, 'Financed Projects'!$B:$B,  "Registered") +COUNTIFS('Financed Projects'!$E:$E, 'Financed Projects_summary'!B21, 'Financed Projects'!$J:$J, 'Financed Projects_summary'!$C$6, 'Financed Projects'!$B:$B,  "Implementation")+COUNTIFS('Financed Projects'!$E:$E, 'Financed Projects_summary'!B21, 'Financed Projects'!$J:$J, 'Financed Projects_summary'!$C$6, 'Financed Projects'!$B:$B,  "Installing")</f>
        <v>0</v>
      </c>
      <c r="D21" s="307">
        <f>COUNTIFS('Financed Projects'!$E:$E, 'Financed Projects_summary'!B21, 'Financed Projects'!$J:$J, 'Financed Projects_summary'!$D$6, 'Financed Projects'!$B:$B,  "Registered") +COUNTIFS('Financed Projects'!$E:$E, 'Financed Projects_summary'!B21, 'Financed Projects'!$J:$J, 'Financed Projects_summary'!$D$6, 'Financed Projects'!$B:$B,  "Implementation")+COUNTIFS('Financed Projects'!$E:$E, 'Financed Projects_summary'!B21, 'Financed Projects'!$J:$J, 'Financed Projects_summary'!$D$6, 'Financed Projects'!$B:$B,  "Installing")</f>
        <v>0</v>
      </c>
      <c r="E21" s="307">
        <f>COUNTIFS('Financed Projects'!$E:$E, 'Financed Projects_summary'!B21, 'Financed Projects'!$J:$J, 'Financed Projects_summary'!$E$6, 'Financed Projects'!$B:$B,  "Registered") +COUNTIFS('Financed Projects'!$E:$E, 'Financed Projects_summary'!B21, 'Financed Projects'!$J:$J, 'Financed Projects_summary'!$E$6, 'Financed Projects'!$B:$B,  "Implementation")+COUNTIFS('Financed Projects'!$E:$E, 'Financed Projects_summary'!B21, 'Financed Projects'!$J:$J, 'Financed Projects_summary'!$E$6, 'Financed Projects'!$B:$B,  "Installing")</f>
        <v>0</v>
      </c>
      <c r="F21" s="307">
        <f>COUNTIFS('Financed Projects'!$E:$E, 'Financed Projects_summary'!B21, 'Financed Projects'!$J:$J, 'Financed Projects_summary'!$F$6, 'Financed Projects'!$B:$B,  "Registered") +COUNTIFS('Financed Projects'!$E:$E, 'Financed Projects_summary'!B21, 'Financed Projects'!$J:$J, 'Financed Projects_summary'!$F$6, 'Financed Projects'!$B:$B,  "Implementation")+COUNTIFS('Financed Projects'!$E:$E, 'Financed Projects_summary'!B21, 'Financed Projects'!$J:$J, 'Financed Projects_summary'!$F$6, 'Financed Projects'!$B:$B,  "Installing")</f>
        <v>0</v>
      </c>
      <c r="G21" s="307">
        <f>COUNTIFS('Financed Projects'!$E:$E, 'Financed Projects_summary'!B21, 'Financed Projects'!$J:$J, 'Financed Projects_summary'!$G$6, 'Financed Projects'!$B:$B,  "Registered") +COUNTIFS('Financed Projects'!$E:$E, 'Financed Projects_summary'!B21, 'Financed Projects'!$J:$J, 'Financed Projects_summary'!$G$6, 'Financed Projects'!$B:$B,  "Implementation")+COUNTIFS('Financed Projects'!$E:$E, 'Financed Projects_summary'!B21, 'Financed Projects'!$J:$J, 'Financed Projects_summary'!$G$6, 'Financed Projects'!$B:$B,  "Installing")</f>
        <v>2</v>
      </c>
      <c r="H21" s="307">
        <f>COUNTIFS('Financed Projects'!$E:$E, 'Financed Projects_summary'!B21, 'Financed Projects'!$J:$J, 'Financed Projects_summary'!$H$6, 'Financed Projects'!$B:$B,  "Registered") +COUNTIFS('Financed Projects'!$E:$E, 'Financed Projects_summary'!B21, 'Financed Projects'!$J:$J, 'Financed Projects_summary'!$H$6, 'Financed Projects'!$B:$B,  "Implementation")+COUNTIFS('Financed Projects'!$E:$E, 'Financed Projects_summary'!B21, 'Financed Projects'!$J:$J, 'Financed Projects_summary'!$H$6, 'Financed Projects'!$B:$B,  "Installing")</f>
        <v>0</v>
      </c>
      <c r="I21" s="307">
        <f>COUNTIFS('Financed Projects'!$E:$E, 'Financed Projects_summary'!B21, 'Financed Projects'!$J:$J, 'Financed Projects_summary'!$I$6, 'Financed Projects'!$B:$B,  "Registered") +COUNTIFS('Financed Projects'!$E:$E, 'Financed Projects_summary'!B21, 'Financed Projects'!$J:$J, 'Financed Projects_summary'!$I$6, 'Financed Projects'!$B:$B,  "Implementation")+COUNTIFS('Financed Projects'!$E:$E, 'Financed Projects_summary'!B21, 'Financed Projects'!$J:$J, 'Financed Projects_summary'!$I$6, 'Financed Projects'!$B:$B,  "Installing")</f>
        <v>0</v>
      </c>
      <c r="J21" s="307">
        <f>COUNTIFS('Financed Projects'!$E:$E, 'Financed Projects_summary'!B21, 'Financed Projects'!$J:$J, 'Financed Projects_summary'!$J$6, 'Financed Projects'!$B:$B,  "Registered") +COUNTIFS('Financed Projects'!$E:$E, 'Financed Projects_summary'!B21, 'Financed Projects'!$J:$J, 'Financed Projects_summary'!$J$6, 'Financed Projects'!$B:$B,  "Implementation")+COUNTIFS('Financed Projects'!$E:$E, 'Financed Projects_summary'!B21, 'Financed Projects'!$J:$J, 'Financed Projects_summary'!$J$6, 'Financed Projects'!$B:$B,  "Installing")</f>
        <v>0</v>
      </c>
      <c r="K21" s="307">
        <f>COUNTIFS('Financed Projects'!$E:$E, 'Financed Projects_summary'!B21, 'Financed Projects'!$J:$J, 'Financed Projects_summary'!$K$6, 'Financed Projects'!$B:$B,  "Registered") +COUNTIFS('Financed Projects'!$E:$E, 'Financed Projects_summary'!B21, 'Financed Projects'!$J:$J, 'Financed Projects_summary'!$K$6, 'Financed Projects'!$B:$B,  "Implementation")+COUNTIFS('Financed Projects'!$E:$E, 'Financed Projects_summary'!B21, 'Financed Projects'!$J:$J, 'Financed Projects_summary'!$K$6, 'Financed Projects'!$B:$B,  "Installing")</f>
        <v>0</v>
      </c>
      <c r="L21" s="307">
        <f t="shared" si="0"/>
        <v>2</v>
      </c>
      <c r="M21" s="307">
        <f>COUNTIFS('Financed Projects'!$E:$E, 'Financed Projects_summary'!B21, 'Financed Projects'!$B:$B, "Registered")</f>
        <v>1</v>
      </c>
      <c r="N21" s="321">
        <f>SUMIFS('Financed Projects'!$L:$L, 'Financed Projects'!$E:$E, 'Financed Projects_summary'!B21, 'Financed Projects'!$B:$B, "Registered") + SUMIFS('Financed Projects'!$L:$L, 'Financed Projects'!$E:$E, 'Financed Projects_summary'!B21, 'Financed Projects'!$B:$B, "Implementation")+ SUMIFS('Financed Projects'!$L:$L, 'Financed Projects'!$E:$E, 'Financed Projects_summary'!B21, 'Financed Projects'!$B:$B, "Installing")</f>
        <v>2830</v>
      </c>
      <c r="O21" s="199"/>
    </row>
    <row r="22" spans="1:15" x14ac:dyDescent="0.2">
      <c r="A22" s="198"/>
      <c r="B22" s="307" t="s">
        <v>207</v>
      </c>
      <c r="C22" s="307">
        <f>COUNTIFS('Financed Projects'!$E:$E, 'Financed Projects_summary'!B22, 'Financed Projects'!$J:$J, 'Financed Projects_summary'!$C$6, 'Financed Projects'!$B:$B,  "Registered") +COUNTIFS('Financed Projects'!$E:$E, 'Financed Projects_summary'!B22, 'Financed Projects'!$J:$J, 'Financed Projects_summary'!$C$6, 'Financed Projects'!$B:$B,  "Implementation")+COUNTIFS('Financed Projects'!$E:$E, 'Financed Projects_summary'!B22, 'Financed Projects'!$J:$J, 'Financed Projects_summary'!$C$6, 'Financed Projects'!$B:$B,  "Installing")</f>
        <v>0</v>
      </c>
      <c r="D22" s="307">
        <f>COUNTIFS('Financed Projects'!$E:$E, 'Financed Projects_summary'!B22, 'Financed Projects'!$J:$J, 'Financed Projects_summary'!$D$6, 'Financed Projects'!$B:$B,  "Registered") +COUNTIFS('Financed Projects'!$E:$E, 'Financed Projects_summary'!B22, 'Financed Projects'!$J:$J, 'Financed Projects_summary'!$D$6, 'Financed Projects'!$B:$B,  "Implementation")+COUNTIFS('Financed Projects'!$E:$E, 'Financed Projects_summary'!B22, 'Financed Projects'!$J:$J, 'Financed Projects_summary'!$D$6, 'Financed Projects'!$B:$B,  "Installing")</f>
        <v>0</v>
      </c>
      <c r="E22" s="307">
        <f>COUNTIFS('Financed Projects'!$E:$E, 'Financed Projects_summary'!B22, 'Financed Projects'!$J:$J, 'Financed Projects_summary'!$E$6, 'Financed Projects'!$B:$B,  "Registered") +COUNTIFS('Financed Projects'!$E:$E, 'Financed Projects_summary'!B22, 'Financed Projects'!$J:$J, 'Financed Projects_summary'!$E$6, 'Financed Projects'!$B:$B,  "Implementation")+COUNTIFS('Financed Projects'!$E:$E, 'Financed Projects_summary'!B22, 'Financed Projects'!$J:$J, 'Financed Projects_summary'!$E$6, 'Financed Projects'!$B:$B,  "Installing")</f>
        <v>0</v>
      </c>
      <c r="F22" s="307">
        <f>COUNTIFS('Financed Projects'!$E:$E, 'Financed Projects_summary'!B22, 'Financed Projects'!$J:$J, 'Financed Projects_summary'!$F$6, 'Financed Projects'!$B:$B,  "Registered") +COUNTIFS('Financed Projects'!$E:$E, 'Financed Projects_summary'!B22, 'Financed Projects'!$J:$J, 'Financed Projects_summary'!$F$6, 'Financed Projects'!$B:$B,  "Implementation")+COUNTIFS('Financed Projects'!$E:$E, 'Financed Projects_summary'!B22, 'Financed Projects'!$J:$J, 'Financed Projects_summary'!$F$6, 'Financed Projects'!$B:$B,  "Installing")</f>
        <v>0</v>
      </c>
      <c r="G22" s="307">
        <f>COUNTIFS('Financed Projects'!$E:$E, 'Financed Projects_summary'!B22, 'Financed Projects'!$J:$J, 'Financed Projects_summary'!$G$6, 'Financed Projects'!$B:$B,  "Registered") +COUNTIFS('Financed Projects'!$E:$E, 'Financed Projects_summary'!B22, 'Financed Projects'!$J:$J, 'Financed Projects_summary'!$G$6, 'Financed Projects'!$B:$B,  "Implementation")+COUNTIFS('Financed Projects'!$E:$E, 'Financed Projects_summary'!B22, 'Financed Projects'!$J:$J, 'Financed Projects_summary'!$G$6, 'Financed Projects'!$B:$B,  "Installing")</f>
        <v>0</v>
      </c>
      <c r="H22" s="307">
        <f>COUNTIFS('Financed Projects'!$E:$E, 'Financed Projects_summary'!B22, 'Financed Projects'!$J:$J, 'Financed Projects_summary'!$H$6, 'Financed Projects'!$B:$B,  "Registered") +COUNTIFS('Financed Projects'!$E:$E, 'Financed Projects_summary'!B22, 'Financed Projects'!$J:$J, 'Financed Projects_summary'!$H$6, 'Financed Projects'!$B:$B,  "Implementation")+COUNTIFS('Financed Projects'!$E:$E, 'Financed Projects_summary'!B22, 'Financed Projects'!$J:$J, 'Financed Projects_summary'!$H$6, 'Financed Projects'!$B:$B,  "Installing")</f>
        <v>0</v>
      </c>
      <c r="I22" s="307">
        <f>COUNTIFS('Financed Projects'!$E:$E, 'Financed Projects_summary'!B22, 'Financed Projects'!$J:$J, 'Financed Projects_summary'!$I$6, 'Financed Projects'!$B:$B,  "Registered") +COUNTIFS('Financed Projects'!$E:$E, 'Financed Projects_summary'!B22, 'Financed Projects'!$J:$J, 'Financed Projects_summary'!$I$6, 'Financed Projects'!$B:$B,  "Implementation")+COUNTIFS('Financed Projects'!$E:$E, 'Financed Projects_summary'!B22, 'Financed Projects'!$J:$J, 'Financed Projects_summary'!$I$6, 'Financed Projects'!$B:$B,  "Installing")</f>
        <v>0</v>
      </c>
      <c r="J22" s="307">
        <f>COUNTIFS('Financed Projects'!$E:$E, 'Financed Projects_summary'!B22, 'Financed Projects'!$J:$J, 'Financed Projects_summary'!$J$6, 'Financed Projects'!$B:$B,  "Registered") +COUNTIFS('Financed Projects'!$E:$E, 'Financed Projects_summary'!B22, 'Financed Projects'!$J:$J, 'Financed Projects_summary'!$J$6, 'Financed Projects'!$B:$B,  "Implementation")+COUNTIFS('Financed Projects'!$E:$E, 'Financed Projects_summary'!B22, 'Financed Projects'!$J:$J, 'Financed Projects_summary'!$J$6, 'Financed Projects'!$B:$B,  "Installing")</f>
        <v>1</v>
      </c>
      <c r="K22" s="307">
        <f>COUNTIFS('Financed Projects'!$E:$E, 'Financed Projects_summary'!B22, 'Financed Projects'!$J:$J, 'Financed Projects_summary'!$K$6, 'Financed Projects'!$B:$B,  "Registered") +COUNTIFS('Financed Projects'!$E:$E, 'Financed Projects_summary'!B22, 'Financed Projects'!$J:$J, 'Financed Projects_summary'!$K$6, 'Financed Projects'!$B:$B,  "Implementation")+COUNTIFS('Financed Projects'!$E:$E, 'Financed Projects_summary'!B22, 'Financed Projects'!$J:$J, 'Financed Projects_summary'!$K$6, 'Financed Projects'!$B:$B,  "Installing")</f>
        <v>0</v>
      </c>
      <c r="L22" s="307">
        <f t="shared" si="0"/>
        <v>1</v>
      </c>
      <c r="M22" s="307">
        <f>COUNTIFS('Financed Projects'!$E:$E, 'Financed Projects_summary'!B22, 'Financed Projects'!$B:$B, "Registered")</f>
        <v>0</v>
      </c>
      <c r="N22" s="321">
        <f>SUMIFS('Financed Projects'!$L:$L, 'Financed Projects'!$E:$E, 'Financed Projects_summary'!B22, 'Financed Projects'!$B:$B, "Registered") + SUMIFS('Financed Projects'!$L:$L, 'Financed Projects'!$E:$E, 'Financed Projects_summary'!B22, 'Financed Projects'!$B:$B, "Implementation")+ SUMIFS('Financed Projects'!$L:$L, 'Financed Projects'!$E:$E, 'Financed Projects_summary'!B22, 'Financed Projects'!$B:$B, "Installing")</f>
        <v>30007</v>
      </c>
      <c r="O22" s="199"/>
    </row>
    <row r="23" spans="1:15" x14ac:dyDescent="0.2">
      <c r="A23" s="198"/>
      <c r="B23" s="307" t="s">
        <v>553</v>
      </c>
      <c r="C23" s="307">
        <f>COUNTIFS('Financed Projects'!$E:$E, 'Financed Projects_summary'!B23, 'Financed Projects'!$J:$J, 'Financed Projects_summary'!$C$6, 'Financed Projects'!$B:$B,  "Registered") +COUNTIFS('Financed Projects'!$E:$E, 'Financed Projects_summary'!B23, 'Financed Projects'!$J:$J, 'Financed Projects_summary'!$C$6, 'Financed Projects'!$B:$B,  "Implementation")+COUNTIFS('Financed Projects'!$E:$E, 'Financed Projects_summary'!B23, 'Financed Projects'!$J:$J, 'Financed Projects_summary'!$C$6, 'Financed Projects'!$B:$B,  "Installing")</f>
        <v>0</v>
      </c>
      <c r="D23" s="307">
        <f>COUNTIFS('Financed Projects'!$E:$E, 'Financed Projects_summary'!B23, 'Financed Projects'!$J:$J, 'Financed Projects_summary'!$D$6, 'Financed Projects'!$B:$B,  "Registered") +COUNTIFS('Financed Projects'!$E:$E, 'Financed Projects_summary'!B23, 'Financed Projects'!$J:$J, 'Financed Projects_summary'!$D$6, 'Financed Projects'!$B:$B,  "Implementation")+COUNTIFS('Financed Projects'!$E:$E, 'Financed Projects_summary'!B23, 'Financed Projects'!$J:$J, 'Financed Projects_summary'!$D$6, 'Financed Projects'!$B:$B,  "Installing")</f>
        <v>0</v>
      </c>
      <c r="E23" s="307">
        <f>COUNTIFS('Financed Projects'!$E:$E, 'Financed Projects_summary'!B23, 'Financed Projects'!$J:$J, 'Financed Projects_summary'!$E$6, 'Financed Projects'!$B:$B,  "Registered") +COUNTIFS('Financed Projects'!$E:$E, 'Financed Projects_summary'!B23, 'Financed Projects'!$J:$J, 'Financed Projects_summary'!$E$6, 'Financed Projects'!$B:$B,  "Implementation")+COUNTIFS('Financed Projects'!$E:$E, 'Financed Projects_summary'!B23, 'Financed Projects'!$J:$J, 'Financed Projects_summary'!$E$6, 'Financed Projects'!$B:$B,  "Installing")</f>
        <v>0</v>
      </c>
      <c r="F23" s="307">
        <f>COUNTIFS('Financed Projects'!$E:$E, 'Financed Projects_summary'!B23, 'Financed Projects'!$J:$J, 'Financed Projects_summary'!$F$6, 'Financed Projects'!$B:$B,  "Registered") +COUNTIFS('Financed Projects'!$E:$E, 'Financed Projects_summary'!B23, 'Financed Projects'!$J:$J, 'Financed Projects_summary'!$F$6, 'Financed Projects'!$B:$B,  "Implementation")+COUNTIFS('Financed Projects'!$E:$E, 'Financed Projects_summary'!B23, 'Financed Projects'!$J:$J, 'Financed Projects_summary'!$F$6, 'Financed Projects'!$B:$B,  "Installing")</f>
        <v>1</v>
      </c>
      <c r="G23" s="307">
        <f>COUNTIFS('Financed Projects'!$E:$E, 'Financed Projects_summary'!B23, 'Financed Projects'!$J:$J, 'Financed Projects_summary'!$G$6, 'Financed Projects'!$B:$B,  "Registered") +COUNTIFS('Financed Projects'!$E:$E, 'Financed Projects_summary'!B23, 'Financed Projects'!$J:$J, 'Financed Projects_summary'!$G$6, 'Financed Projects'!$B:$B,  "Implementation")+COUNTIFS('Financed Projects'!$E:$E, 'Financed Projects_summary'!B23, 'Financed Projects'!$J:$J, 'Financed Projects_summary'!$G$6, 'Financed Projects'!$B:$B,  "Installing")</f>
        <v>0</v>
      </c>
      <c r="H23" s="307">
        <f>COUNTIFS('Financed Projects'!$E:$E, 'Financed Projects_summary'!B23, 'Financed Projects'!$J:$J, 'Financed Projects_summary'!$H$6, 'Financed Projects'!$B:$B,  "Registered") +COUNTIFS('Financed Projects'!$E:$E, 'Financed Projects_summary'!B23, 'Financed Projects'!$J:$J, 'Financed Projects_summary'!$H$6, 'Financed Projects'!$B:$B,  "Implementation")+COUNTIFS('Financed Projects'!$E:$E, 'Financed Projects_summary'!B23, 'Financed Projects'!$J:$J, 'Financed Projects_summary'!$H$6, 'Financed Projects'!$B:$B,  "Installing")</f>
        <v>0</v>
      </c>
      <c r="I23" s="307">
        <f>COUNTIFS('Financed Projects'!$E:$E, 'Financed Projects_summary'!B23, 'Financed Projects'!$J:$J, 'Financed Projects_summary'!$I$6, 'Financed Projects'!$B:$B,  "Registered") +COUNTIFS('Financed Projects'!$E:$E, 'Financed Projects_summary'!B23, 'Financed Projects'!$J:$J, 'Financed Projects_summary'!$I$6, 'Financed Projects'!$B:$B,  "Implementation")+COUNTIFS('Financed Projects'!$E:$E, 'Financed Projects_summary'!B23, 'Financed Projects'!$J:$J, 'Financed Projects_summary'!$I$6, 'Financed Projects'!$B:$B,  "Installing")</f>
        <v>0</v>
      </c>
      <c r="J23" s="307">
        <f>COUNTIFS('Financed Projects'!$E:$E, 'Financed Projects_summary'!B23, 'Financed Projects'!$J:$J, 'Financed Projects_summary'!$J$6, 'Financed Projects'!$B:$B,  "Registered") +COUNTIFS('Financed Projects'!$E:$E, 'Financed Projects_summary'!B23, 'Financed Projects'!$J:$J, 'Financed Projects_summary'!$J$6, 'Financed Projects'!$B:$B,  "Implementation")+COUNTIFS('Financed Projects'!$E:$E, 'Financed Projects_summary'!B23, 'Financed Projects'!$J:$J, 'Financed Projects_summary'!$J$6, 'Financed Projects'!$B:$B,  "Installing")</f>
        <v>0</v>
      </c>
      <c r="K23" s="307">
        <f>COUNTIFS('Financed Projects'!$E:$E, 'Financed Projects_summary'!B23, 'Financed Projects'!$J:$J, 'Financed Projects_summary'!$K$6, 'Financed Projects'!$B:$B,  "Registered") +COUNTIFS('Financed Projects'!$E:$E, 'Financed Projects_summary'!B23, 'Financed Projects'!$J:$J, 'Financed Projects_summary'!$K$6, 'Financed Projects'!$B:$B,  "Implementation")+COUNTIFS('Financed Projects'!$E:$E, 'Financed Projects_summary'!B23, 'Financed Projects'!$J:$J, 'Financed Projects_summary'!$K$6, 'Financed Projects'!$B:$B,  "Installing")</f>
        <v>1</v>
      </c>
      <c r="L23" s="307">
        <f t="shared" si="0"/>
        <v>2</v>
      </c>
      <c r="M23" s="307">
        <f>COUNTIFS('Financed Projects'!$E:$E, 'Financed Projects_summary'!B23, 'Financed Projects'!$B:$B, "Registered")</f>
        <v>1</v>
      </c>
      <c r="N23" s="321">
        <f>SUMIFS('Financed Projects'!$L:$L, 'Financed Projects'!$E:$E, 'Financed Projects_summary'!B23, 'Financed Projects'!$B:$B, "Registered") + SUMIFS('Financed Projects'!$L:$L, 'Financed Projects'!$E:$E, 'Financed Projects_summary'!B23, 'Financed Projects'!$B:$B, "Implementation")+ SUMIFS('Financed Projects'!$L:$L, 'Financed Projects'!$E:$E, 'Financed Projects_summary'!B23, 'Financed Projects'!$B:$B, "Installing")</f>
        <v>480418</v>
      </c>
      <c r="O23" s="199"/>
    </row>
    <row r="24" spans="1:15" x14ac:dyDescent="0.2">
      <c r="A24" s="198"/>
      <c r="B24" s="393" t="s">
        <v>824</v>
      </c>
      <c r="C24" s="393">
        <f t="shared" ref="C24:J24" si="1">SUM(C7:C23)</f>
        <v>1</v>
      </c>
      <c r="D24" s="393">
        <f t="shared" si="1"/>
        <v>12</v>
      </c>
      <c r="E24" s="393">
        <f t="shared" si="1"/>
        <v>14</v>
      </c>
      <c r="F24" s="393">
        <f t="shared" si="1"/>
        <v>34</v>
      </c>
      <c r="G24" s="393">
        <f t="shared" si="1"/>
        <v>35</v>
      </c>
      <c r="H24" s="393">
        <f t="shared" si="1"/>
        <v>16</v>
      </c>
      <c r="I24" s="393">
        <f t="shared" si="1"/>
        <v>28</v>
      </c>
      <c r="J24" s="393">
        <f t="shared" si="1"/>
        <v>26</v>
      </c>
      <c r="K24" s="393">
        <f>SUM(K7:K23)</f>
        <v>12</v>
      </c>
      <c r="L24" s="393">
        <f>IF(SUM(L7:L23)=SUM(C24:K24), SUM(L7:L23), "NA")</f>
        <v>178</v>
      </c>
      <c r="M24" s="393">
        <f>SUM(M7:M23)</f>
        <v>64</v>
      </c>
      <c r="N24" s="394">
        <f>SUM(N7:N23)</f>
        <v>2280177.63</v>
      </c>
      <c r="O24" s="199"/>
    </row>
    <row r="25" spans="1:15" x14ac:dyDescent="0.2">
      <c r="A25" s="196"/>
      <c r="B25" s="177" t="s">
        <v>2296</v>
      </c>
      <c r="C25" s="177"/>
      <c r="D25" s="177"/>
      <c r="E25" s="177"/>
      <c r="F25" s="177"/>
      <c r="G25" s="177"/>
      <c r="H25" s="177"/>
      <c r="I25" s="177"/>
      <c r="J25" s="177"/>
      <c r="K25" s="177"/>
      <c r="L25" s="177"/>
      <c r="M25" s="152"/>
      <c r="N25" s="177"/>
      <c r="O25" s="199"/>
    </row>
    <row r="26" spans="1:15" x14ac:dyDescent="0.2">
      <c r="A26" s="196"/>
      <c r="B26" s="165"/>
      <c r="C26" s="165"/>
      <c r="D26" s="165"/>
      <c r="E26" s="165"/>
      <c r="F26" s="165"/>
      <c r="G26" s="165"/>
      <c r="H26" s="165"/>
      <c r="I26" s="165"/>
      <c r="J26" s="165"/>
      <c r="K26" s="165"/>
      <c r="L26" s="165"/>
      <c r="M26" s="152"/>
      <c r="N26" s="165"/>
      <c r="O26" s="199"/>
    </row>
    <row r="27" spans="1:15" ht="20.25" x14ac:dyDescent="0.3">
      <c r="A27" s="198"/>
      <c r="B27" s="388" t="s">
        <v>1768</v>
      </c>
      <c r="C27" s="395"/>
      <c r="D27" s="395"/>
      <c r="E27" s="395"/>
      <c r="F27" s="395"/>
      <c r="G27" s="395"/>
      <c r="H27" s="395"/>
      <c r="I27" s="395"/>
      <c r="J27" s="180"/>
      <c r="K27" s="180"/>
      <c r="L27" s="180"/>
      <c r="M27" s="180"/>
      <c r="N27" s="152"/>
      <c r="O27" s="199"/>
    </row>
    <row r="28" spans="1:15" x14ac:dyDescent="0.2">
      <c r="A28" s="196"/>
      <c r="B28" s="177"/>
      <c r="C28" s="177"/>
      <c r="D28" s="177"/>
      <c r="E28" s="177"/>
      <c r="F28" s="177"/>
      <c r="G28" s="177"/>
      <c r="H28" s="177"/>
      <c r="I28" s="177"/>
      <c r="J28" s="177"/>
      <c r="K28" s="177"/>
      <c r="L28" s="177"/>
      <c r="M28" s="152"/>
      <c r="N28" s="177"/>
      <c r="O28" s="199"/>
    </row>
    <row r="29" spans="1:15" x14ac:dyDescent="0.2">
      <c r="A29" s="196"/>
      <c r="B29" s="152"/>
      <c r="C29" s="152"/>
      <c r="D29" s="152"/>
      <c r="E29" s="152"/>
      <c r="F29" s="152"/>
      <c r="G29" s="152"/>
      <c r="H29" s="152"/>
      <c r="I29" s="152"/>
      <c r="J29" s="152"/>
      <c r="K29" s="152"/>
      <c r="L29" s="152"/>
      <c r="M29" s="152"/>
      <c r="N29" s="152"/>
      <c r="O29" s="199"/>
    </row>
    <row r="30" spans="1:15" x14ac:dyDescent="0.2">
      <c r="A30" s="196"/>
      <c r="B30" s="152"/>
      <c r="C30" s="152"/>
      <c r="D30" s="152"/>
      <c r="E30" s="152"/>
      <c r="F30" s="152"/>
      <c r="G30" s="152"/>
      <c r="H30" s="152"/>
      <c r="I30" s="152"/>
      <c r="J30" s="152"/>
      <c r="K30" s="152"/>
      <c r="L30" s="152"/>
      <c r="M30" s="152"/>
      <c r="N30" s="152"/>
      <c r="O30" s="199"/>
    </row>
    <row r="31" spans="1:15" x14ac:dyDescent="0.2">
      <c r="A31" s="196"/>
      <c r="B31" s="152"/>
      <c r="C31" s="152"/>
      <c r="D31" s="152"/>
      <c r="E31" s="152"/>
      <c r="F31" s="152"/>
      <c r="G31" s="152"/>
      <c r="H31" s="152"/>
      <c r="I31" s="152"/>
      <c r="J31" s="152"/>
      <c r="K31" s="152"/>
      <c r="L31" s="152"/>
      <c r="M31" s="152"/>
      <c r="N31" s="152"/>
      <c r="O31" s="199"/>
    </row>
    <row r="32" spans="1:15" x14ac:dyDescent="0.2">
      <c r="A32" s="196"/>
      <c r="B32" s="152"/>
      <c r="C32" s="152"/>
      <c r="D32" s="152"/>
      <c r="E32" s="152"/>
      <c r="F32" s="152"/>
      <c r="G32" s="152"/>
      <c r="H32" s="152"/>
      <c r="I32" s="152"/>
      <c r="J32" s="152"/>
      <c r="K32" s="152"/>
      <c r="L32" s="152"/>
      <c r="M32" s="152"/>
      <c r="N32" s="152"/>
      <c r="O32" s="199"/>
    </row>
    <row r="33" spans="1:15" x14ac:dyDescent="0.2">
      <c r="A33" s="196"/>
      <c r="B33" s="152"/>
      <c r="C33" s="152"/>
      <c r="D33" s="152"/>
      <c r="E33" s="152"/>
      <c r="F33" s="152"/>
      <c r="G33" s="152"/>
      <c r="H33" s="152"/>
      <c r="I33" s="152"/>
      <c r="J33" s="152"/>
      <c r="K33" s="152"/>
      <c r="L33" s="152"/>
      <c r="M33" s="152"/>
      <c r="N33" s="152"/>
      <c r="O33" s="199"/>
    </row>
    <row r="34" spans="1:15" x14ac:dyDescent="0.2">
      <c r="A34" s="196"/>
      <c r="B34" s="152"/>
      <c r="C34" s="152"/>
      <c r="D34" s="152"/>
      <c r="E34" s="152"/>
      <c r="F34" s="152"/>
      <c r="G34" s="152"/>
      <c r="H34" s="152"/>
      <c r="I34" s="152"/>
      <c r="J34" s="152"/>
      <c r="K34" s="152"/>
      <c r="L34" s="152"/>
      <c r="M34" s="152"/>
      <c r="N34" s="152"/>
      <c r="O34" s="199"/>
    </row>
    <row r="35" spans="1:15" x14ac:dyDescent="0.2">
      <c r="A35" s="196"/>
      <c r="B35" s="152"/>
      <c r="C35" s="152"/>
      <c r="D35" s="152"/>
      <c r="E35" s="152"/>
      <c r="F35" s="152"/>
      <c r="G35" s="152"/>
      <c r="H35" s="152"/>
      <c r="I35" s="152"/>
      <c r="J35" s="152"/>
      <c r="K35" s="152"/>
      <c r="L35" s="152"/>
      <c r="M35" s="152"/>
      <c r="N35" s="152"/>
      <c r="O35" s="199"/>
    </row>
    <row r="36" spans="1:15" x14ac:dyDescent="0.2">
      <c r="A36" s="196"/>
      <c r="B36" s="152"/>
      <c r="C36" s="152"/>
      <c r="D36" s="152"/>
      <c r="E36" s="152"/>
      <c r="F36" s="152"/>
      <c r="G36" s="152"/>
      <c r="H36" s="152"/>
      <c r="I36" s="152"/>
      <c r="J36" s="152"/>
      <c r="K36" s="152"/>
      <c r="L36" s="152"/>
      <c r="M36" s="152"/>
      <c r="N36" s="152"/>
      <c r="O36" s="199"/>
    </row>
    <row r="37" spans="1:15" x14ac:dyDescent="0.2">
      <c r="A37" s="196"/>
      <c r="B37" s="152"/>
      <c r="C37" s="152"/>
      <c r="D37" s="152"/>
      <c r="E37" s="152"/>
      <c r="F37" s="152"/>
      <c r="G37" s="152"/>
      <c r="H37" s="152"/>
      <c r="I37" s="152"/>
      <c r="J37" s="152"/>
      <c r="K37" s="152"/>
      <c r="L37" s="152"/>
      <c r="M37" s="152"/>
      <c r="N37" s="152"/>
      <c r="O37" s="199"/>
    </row>
    <row r="38" spans="1:15" x14ac:dyDescent="0.2">
      <c r="A38" s="196"/>
      <c r="B38" s="152"/>
      <c r="C38" s="152"/>
      <c r="D38" s="152"/>
      <c r="E38" s="152"/>
      <c r="F38" s="152"/>
      <c r="G38" s="152"/>
      <c r="H38" s="152"/>
      <c r="I38" s="152"/>
      <c r="J38" s="152"/>
      <c r="K38" s="152"/>
      <c r="L38" s="152"/>
      <c r="M38" s="152"/>
      <c r="N38" s="152"/>
      <c r="O38" s="199"/>
    </row>
    <row r="39" spans="1:15" x14ac:dyDescent="0.2">
      <c r="A39" s="196"/>
      <c r="B39" s="152"/>
      <c r="C39" s="152"/>
      <c r="D39" s="152"/>
      <c r="E39" s="152"/>
      <c r="F39" s="152"/>
      <c r="G39" s="152"/>
      <c r="H39" s="152"/>
      <c r="I39" s="152"/>
      <c r="J39" s="152"/>
      <c r="K39" s="152"/>
      <c r="L39" s="152"/>
      <c r="M39" s="152"/>
      <c r="N39" s="152"/>
      <c r="O39" s="199"/>
    </row>
    <row r="40" spans="1:15" x14ac:dyDescent="0.2">
      <c r="A40" s="196"/>
      <c r="B40" s="152"/>
      <c r="C40" s="152"/>
      <c r="D40" s="152"/>
      <c r="E40" s="152"/>
      <c r="F40" s="152"/>
      <c r="G40" s="152"/>
      <c r="H40" s="152"/>
      <c r="I40" s="152"/>
      <c r="J40" s="152"/>
      <c r="K40" s="152"/>
      <c r="L40" s="152"/>
      <c r="M40" s="152"/>
      <c r="N40" s="152"/>
      <c r="O40" s="199"/>
    </row>
    <row r="41" spans="1:15" x14ac:dyDescent="0.2">
      <c r="A41" s="196"/>
      <c r="B41" s="152"/>
      <c r="C41" s="152"/>
      <c r="D41" s="152"/>
      <c r="E41" s="152"/>
      <c r="F41" s="152"/>
      <c r="G41" s="152"/>
      <c r="H41" s="152"/>
      <c r="I41" s="152"/>
      <c r="J41" s="152"/>
      <c r="K41" s="152"/>
      <c r="L41" s="152"/>
      <c r="M41" s="152"/>
      <c r="N41" s="152"/>
      <c r="O41" s="199"/>
    </row>
    <row r="42" spans="1:15" x14ac:dyDescent="0.2">
      <c r="A42" s="196"/>
      <c r="B42" s="152"/>
      <c r="C42" s="152"/>
      <c r="D42" s="152"/>
      <c r="E42" s="152"/>
      <c r="F42" s="152"/>
      <c r="G42" s="152"/>
      <c r="H42" s="152"/>
      <c r="I42" s="152"/>
      <c r="J42" s="152"/>
      <c r="K42" s="152"/>
      <c r="L42" s="152"/>
      <c r="M42" s="152"/>
      <c r="N42" s="152"/>
      <c r="O42" s="199"/>
    </row>
    <row r="43" spans="1:15" x14ac:dyDescent="0.2">
      <c r="A43" s="196"/>
      <c r="B43" s="152"/>
      <c r="C43" s="152"/>
      <c r="D43" s="152"/>
      <c r="E43" s="152"/>
      <c r="F43" s="152"/>
      <c r="G43" s="152"/>
      <c r="H43" s="152"/>
      <c r="I43" s="152"/>
      <c r="J43" s="152"/>
      <c r="K43" s="152"/>
      <c r="L43" s="152"/>
      <c r="M43" s="152"/>
      <c r="N43" s="152"/>
      <c r="O43" s="199"/>
    </row>
    <row r="44" spans="1:15" x14ac:dyDescent="0.2">
      <c r="A44" s="196"/>
      <c r="B44" s="152"/>
      <c r="C44" s="152"/>
      <c r="D44" s="152"/>
      <c r="E44" s="152"/>
      <c r="F44" s="152"/>
      <c r="G44" s="152"/>
      <c r="H44" s="152"/>
      <c r="I44" s="152"/>
      <c r="J44" s="152"/>
      <c r="K44" s="152"/>
      <c r="L44" s="152"/>
      <c r="M44" s="152"/>
      <c r="N44" s="152"/>
      <c r="O44" s="199"/>
    </row>
    <row r="45" spans="1:15" x14ac:dyDescent="0.2">
      <c r="A45" s="196"/>
      <c r="B45" s="152"/>
      <c r="C45" s="152"/>
      <c r="D45" s="152"/>
      <c r="E45" s="152"/>
      <c r="F45" s="152"/>
      <c r="G45" s="152"/>
      <c r="H45" s="152"/>
      <c r="I45" s="152"/>
      <c r="J45" s="152"/>
      <c r="K45" s="152"/>
      <c r="L45" s="152"/>
      <c r="M45" s="152"/>
      <c r="N45" s="152"/>
      <c r="O45" s="199"/>
    </row>
    <row r="46" spans="1:15" x14ac:dyDescent="0.2">
      <c r="A46" s="196"/>
      <c r="B46" s="152"/>
      <c r="C46" s="152"/>
      <c r="D46" s="152"/>
      <c r="E46" s="152"/>
      <c r="F46" s="152"/>
      <c r="G46" s="152"/>
      <c r="H46" s="152"/>
      <c r="I46" s="152"/>
      <c r="J46" s="152"/>
      <c r="K46" s="152"/>
      <c r="L46" s="152"/>
      <c r="M46" s="152"/>
      <c r="N46" s="152"/>
      <c r="O46" s="199"/>
    </row>
    <row r="47" spans="1:15" x14ac:dyDescent="0.2">
      <c r="A47" s="196"/>
      <c r="B47" s="152"/>
      <c r="C47" s="152"/>
      <c r="D47" s="152"/>
      <c r="E47" s="152"/>
      <c r="F47" s="152"/>
      <c r="G47" s="152"/>
      <c r="H47" s="152"/>
      <c r="I47" s="152"/>
      <c r="J47" s="152"/>
      <c r="K47" s="152"/>
      <c r="L47" s="152"/>
      <c r="M47" s="152"/>
      <c r="N47" s="152"/>
      <c r="O47" s="199"/>
    </row>
    <row r="48" spans="1:15" x14ac:dyDescent="0.2">
      <c r="A48" s="196"/>
      <c r="B48" s="152"/>
      <c r="C48" s="152"/>
      <c r="D48" s="152"/>
      <c r="E48" s="152"/>
      <c r="F48" s="152"/>
      <c r="G48" s="152"/>
      <c r="H48" s="152"/>
      <c r="I48" s="152"/>
      <c r="J48" s="152"/>
      <c r="K48" s="152"/>
      <c r="L48" s="152"/>
      <c r="M48" s="152"/>
      <c r="N48" s="152"/>
      <c r="O48" s="199"/>
    </row>
    <row r="49" spans="1:15" x14ac:dyDescent="0.2">
      <c r="A49" s="196"/>
      <c r="B49" s="152"/>
      <c r="C49" s="152"/>
      <c r="D49" s="152"/>
      <c r="E49" s="152"/>
      <c r="F49" s="152"/>
      <c r="G49" s="152"/>
      <c r="H49" s="152"/>
      <c r="I49" s="152"/>
      <c r="J49" s="152"/>
      <c r="K49" s="152"/>
      <c r="L49" s="152"/>
      <c r="M49" s="152"/>
      <c r="N49" s="152"/>
      <c r="O49" s="199"/>
    </row>
    <row r="50" spans="1:15" x14ac:dyDescent="0.2">
      <c r="A50" s="196"/>
      <c r="B50" s="152"/>
      <c r="C50" s="152"/>
      <c r="D50" s="152"/>
      <c r="E50" s="152"/>
      <c r="F50" s="152"/>
      <c r="G50" s="152"/>
      <c r="H50" s="152"/>
      <c r="I50" s="152"/>
      <c r="J50" s="152"/>
      <c r="K50" s="152"/>
      <c r="L50" s="152"/>
      <c r="M50" s="152"/>
      <c r="N50" s="152"/>
      <c r="O50" s="199"/>
    </row>
    <row r="51" spans="1:15" x14ac:dyDescent="0.2">
      <c r="A51" s="196"/>
      <c r="B51" s="152"/>
      <c r="C51" s="152"/>
      <c r="D51" s="152"/>
      <c r="E51" s="152"/>
      <c r="F51" s="152"/>
      <c r="G51" s="152"/>
      <c r="H51" s="152"/>
      <c r="I51" s="152"/>
      <c r="J51" s="152"/>
      <c r="K51" s="152"/>
      <c r="L51" s="152"/>
      <c r="M51" s="152"/>
      <c r="N51" s="152"/>
      <c r="O51" s="199"/>
    </row>
    <row r="52" spans="1:15" x14ac:dyDescent="0.2">
      <c r="A52" s="196"/>
      <c r="B52" s="152"/>
      <c r="C52" s="152"/>
      <c r="D52" s="152"/>
      <c r="E52" s="152"/>
      <c r="F52" s="152"/>
      <c r="G52" s="152"/>
      <c r="H52" s="152"/>
      <c r="I52" s="152"/>
      <c r="J52" s="152"/>
      <c r="K52" s="152"/>
      <c r="L52" s="152"/>
      <c r="M52" s="152"/>
      <c r="N52" s="152"/>
      <c r="O52" s="199"/>
    </row>
    <row r="53" spans="1:15" x14ac:dyDescent="0.2">
      <c r="A53" s="196"/>
      <c r="B53" s="152"/>
      <c r="C53" s="152"/>
      <c r="D53" s="152"/>
      <c r="E53" s="152"/>
      <c r="F53" s="152"/>
      <c r="G53" s="152"/>
      <c r="H53" s="152"/>
      <c r="I53" s="152"/>
      <c r="J53" s="152"/>
      <c r="K53" s="152"/>
      <c r="L53" s="152"/>
      <c r="M53" s="152"/>
      <c r="N53" s="152"/>
      <c r="O53" s="199"/>
    </row>
    <row r="54" spans="1:15" x14ac:dyDescent="0.2">
      <c r="A54" s="196"/>
      <c r="B54" s="152"/>
      <c r="C54" s="152"/>
      <c r="D54" s="152"/>
      <c r="E54" s="152"/>
      <c r="F54" s="152"/>
      <c r="G54" s="152"/>
      <c r="H54" s="152"/>
      <c r="I54" s="152"/>
      <c r="J54" s="152"/>
      <c r="K54" s="152"/>
      <c r="L54" s="152"/>
      <c r="M54" s="152"/>
      <c r="N54" s="152"/>
      <c r="O54" s="199"/>
    </row>
    <row r="55" spans="1:15" x14ac:dyDescent="0.2">
      <c r="A55" s="196"/>
      <c r="B55" s="152"/>
      <c r="C55" s="152"/>
      <c r="D55" s="152"/>
      <c r="E55" s="152"/>
      <c r="F55" s="152"/>
      <c r="G55" s="152"/>
      <c r="H55" s="152"/>
      <c r="I55" s="152"/>
      <c r="J55" s="152"/>
      <c r="K55" s="152"/>
      <c r="L55" s="152"/>
      <c r="M55" s="152"/>
      <c r="N55" s="152"/>
      <c r="O55" s="199"/>
    </row>
    <row r="56" spans="1:15" x14ac:dyDescent="0.2">
      <c r="A56" s="196"/>
      <c r="B56" s="152"/>
      <c r="C56" s="152"/>
      <c r="D56" s="152"/>
      <c r="E56" s="152"/>
      <c r="F56" s="152"/>
      <c r="G56" s="152"/>
      <c r="H56" s="152"/>
      <c r="I56" s="152"/>
      <c r="J56" s="152"/>
      <c r="K56" s="152"/>
      <c r="L56" s="152"/>
      <c r="M56" s="152"/>
      <c r="N56" s="152"/>
      <c r="O56" s="199"/>
    </row>
    <row r="57" spans="1:15" x14ac:dyDescent="0.2">
      <c r="A57" s="196"/>
      <c r="B57" s="152"/>
      <c r="C57" s="152"/>
      <c r="D57" s="152"/>
      <c r="E57" s="152"/>
      <c r="F57" s="152"/>
      <c r="G57" s="152"/>
      <c r="H57" s="152"/>
      <c r="I57" s="152"/>
      <c r="J57" s="152"/>
      <c r="K57" s="152"/>
      <c r="L57" s="152"/>
      <c r="M57" s="152"/>
      <c r="N57" s="152"/>
      <c r="O57" s="199"/>
    </row>
    <row r="58" spans="1:15" ht="20.25" x14ac:dyDescent="0.3">
      <c r="A58" s="196"/>
      <c r="B58" s="388" t="s">
        <v>1769</v>
      </c>
      <c r="C58" s="389"/>
      <c r="D58" s="389"/>
      <c r="E58" s="389"/>
      <c r="F58" s="389"/>
      <c r="G58" s="389"/>
      <c r="H58" s="389"/>
      <c r="I58" s="390"/>
      <c r="J58" s="152"/>
      <c r="K58" s="152"/>
      <c r="L58" s="152"/>
      <c r="M58" s="152"/>
      <c r="N58" s="152"/>
      <c r="O58" s="199"/>
    </row>
    <row r="59" spans="1:15" ht="28.5" x14ac:dyDescent="0.2">
      <c r="A59" s="196"/>
      <c r="B59" s="392" t="s">
        <v>1763</v>
      </c>
      <c r="C59" s="392" t="s">
        <v>404</v>
      </c>
      <c r="D59" s="392" t="s">
        <v>413</v>
      </c>
      <c r="E59" s="392" t="s">
        <v>1088</v>
      </c>
      <c r="F59" s="392" t="s">
        <v>769</v>
      </c>
      <c r="G59" s="392" t="s">
        <v>1770</v>
      </c>
      <c r="H59" s="392" t="s">
        <v>1771</v>
      </c>
      <c r="I59" s="392" t="s">
        <v>824</v>
      </c>
      <c r="J59" s="152"/>
      <c r="K59" s="152"/>
      <c r="L59" s="152"/>
      <c r="M59" s="152"/>
      <c r="N59" s="152"/>
      <c r="O59" s="199"/>
    </row>
    <row r="60" spans="1:15" x14ac:dyDescent="0.2">
      <c r="A60" s="196"/>
      <c r="B60" s="307" t="s">
        <v>233</v>
      </c>
      <c r="C60" s="307">
        <f>COUNTIFS('Financed Projects'!$E:$E, 'Financed Projects_summary'!B60, 'Financed Projects'!$G:$G, 'Financed Projects_summary'!$C$59, 'Financed Projects'!$B:$B, "Registered") + COUNTIFS('Financed Projects'!$E:$E, 'Financed Projects_summary'!B60, 'Financed Projects'!$G:$G, 'Financed Projects_summary'!$C$59, 'Financed Projects'!$B:$B, "Implementation") +COUNTIFS('Financed Projects'!$E:$E, 'Financed Projects_summary'!B60, 'Financed Projects'!$G:$G, 'Financed Projects_summary'!$C$59, 'Financed Projects'!$B:$B, "Installing")</f>
        <v>25</v>
      </c>
      <c r="D60" s="307">
        <f>COUNTIFS('Financed Projects'!$E:$E, 'Financed Projects_summary'!B60, 'Financed Projects'!$G:$G, 'Financed Projects_summary'!$D$59, 'Financed Projects'!$B:$B, "Registered") + COUNTIFS('Financed Projects'!$E:$E, 'Financed Projects_summary'!B60, 'Financed Projects'!$G:$G, 'Financed Projects_summary'!$D$59, 'Financed Projects'!$B:$B, "Implementation") +COUNTIFS('Financed Projects'!$E:$E, 'Financed Projects_summary'!B60, 'Financed Projects'!$G:$G, 'Financed Projects_summary'!$D$59, 'Financed Projects'!$B:$B, "Installing")</f>
        <v>9</v>
      </c>
      <c r="E60" s="307">
        <f>COUNTIFS('Financed Projects'!$E:$E, 'Financed Projects_summary'!B60, 'Financed Projects'!$G:$G, 'Financed Projects_summary'!$E$59, 'Financed Projects'!$B:$B, "Registered") + COUNTIFS('Financed Projects'!$E:$E, 'Financed Projects_summary'!B60, 'Financed Projects'!$G:$G, 'Financed Projects_summary'!$E$59, 'Financed Projects'!$B:$B, "Implementation") +COUNTIFS('Financed Projects'!$E:$E, 'Financed Projects_summary'!B60, 'Financed Projects'!$G:$G, 'Financed Projects_summary'!$E$59, 'Financed Projects'!$B:$B, "Installing")</f>
        <v>1</v>
      </c>
      <c r="F60" s="307">
        <f>COUNTIFS('Financed Projects'!$E:$E, 'Financed Projects_summary'!B60, 'Financed Projects'!$G:$G, 'Financed Projects_summary'!$F$59, 'Financed Projects'!$B:$B, "Registered") + COUNTIFS('Financed Projects'!$E:$E, 'Financed Projects_summary'!B60, 'Financed Projects'!$G:$G, 'Financed Projects_summary'!$F$59, 'Financed Projects'!$B:$B, "Implementation") +COUNTIFS('Financed Projects'!$E:$E, 'Financed Projects_summary'!B60, 'Financed Projects'!$G:$G, 'Financed Projects_summary'!$F$59, 'Financed Projects'!$B:$B, "Installing")</f>
        <v>2</v>
      </c>
      <c r="G60" s="307">
        <f>COUNTIFS('Financed Projects'!$E:$E, 'Financed Projects_summary'!B60, 'Financed Projects'!$G:$G, 'Financed Projects_summary'!$G$59, 'Financed Projects'!$B:$B, "Registered") + COUNTIFS('Financed Projects'!$E:$E, 'Financed Projects_summary'!B60, 'Financed Projects'!$G:$G, 'Financed Projects_summary'!$G$59, 'Financed Projects'!$B:$B, "Implementation") +COUNTIFS('Financed Projects'!$E:$E, 'Financed Projects_summary'!B60, 'Financed Projects'!$G:$G, 'Financed Projects_summary'!$G$59, 'Financed Projects'!$B:$B, "Installing")</f>
        <v>0</v>
      </c>
      <c r="H60" s="307">
        <f>COUNTIFS('Financed Projects'!$E:$E, 'Financed Projects_summary'!B60, 'Financed Projects'!$G:$G, 'Financed Projects_summary'!$H$59, 'Financed Projects'!$B:$B, "Registered") + COUNTIFS('Financed Projects'!$E:$E, 'Financed Projects_summary'!B60, 'Financed Projects'!$G:$G, 'Financed Projects_summary'!$H$59, 'Financed Projects'!$B:$B, "Implementation") +COUNTIFS('Financed Projects'!$E:$E, 'Financed Projects_summary'!B60, 'Financed Projects'!$G:$G, 'Financed Projects_summary'!$H$59, 'Financed Projects'!$B:$B, "Installing")</f>
        <v>1</v>
      </c>
      <c r="I60" s="307">
        <f>SUM(C60:H60)</f>
        <v>38</v>
      </c>
      <c r="J60" s="152"/>
      <c r="K60" s="152"/>
      <c r="L60" s="152"/>
      <c r="M60" s="152"/>
      <c r="N60" s="152"/>
      <c r="O60" s="199"/>
    </row>
    <row r="61" spans="1:15" x14ac:dyDescent="0.2">
      <c r="A61" s="196"/>
      <c r="B61" s="307" t="s">
        <v>560</v>
      </c>
      <c r="C61" s="307">
        <f>COUNTIFS('Financed Projects'!$E:$E, 'Financed Projects_summary'!B61, 'Financed Projects'!$G:$G, 'Financed Projects_summary'!$C$59, 'Financed Projects'!$B:$B, "Registered") + COUNTIFS('Financed Projects'!$E:$E, 'Financed Projects_summary'!B61, 'Financed Projects'!$G:$G, 'Financed Projects_summary'!$C$59, 'Financed Projects'!$B:$B, "Implementation") +COUNTIFS('Financed Projects'!$E:$E, 'Financed Projects_summary'!B61, 'Financed Projects'!$G:$G, 'Financed Projects_summary'!$C$59, 'Financed Projects'!$B:$B, "Installing")</f>
        <v>18</v>
      </c>
      <c r="D61" s="307">
        <f>COUNTIFS('Financed Projects'!$E:$E, 'Financed Projects_summary'!B61, 'Financed Projects'!$G:$G, 'Financed Projects_summary'!$D$59, 'Financed Projects'!$B:$B, "Registered") + COUNTIFS('Financed Projects'!$E:$E, 'Financed Projects_summary'!B61, 'Financed Projects'!$G:$G, 'Financed Projects_summary'!$D$59, 'Financed Projects'!$B:$B, "Implementation") +COUNTIFS('Financed Projects'!$E:$E, 'Financed Projects_summary'!B61, 'Financed Projects'!$G:$G, 'Financed Projects_summary'!$D$59, 'Financed Projects'!$B:$B, "Installing")</f>
        <v>10</v>
      </c>
      <c r="E61" s="307">
        <f>COUNTIFS('Financed Projects'!$E:$E, 'Financed Projects_summary'!B61, 'Financed Projects'!$G:$G, 'Financed Projects_summary'!$E$59, 'Financed Projects'!$B:$B, "Registered") + COUNTIFS('Financed Projects'!$E:$E, 'Financed Projects_summary'!B61, 'Financed Projects'!$G:$G, 'Financed Projects_summary'!$E$59, 'Financed Projects'!$B:$B, "Implementation") +COUNTIFS('Financed Projects'!$E:$E, 'Financed Projects_summary'!B61, 'Financed Projects'!$G:$G, 'Financed Projects_summary'!$E$59, 'Financed Projects'!$B:$B, "Installing")</f>
        <v>0</v>
      </c>
      <c r="F61" s="307">
        <f>COUNTIFS('Financed Projects'!$E:$E, 'Financed Projects_summary'!B61, 'Financed Projects'!$G:$G, 'Financed Projects_summary'!$F$59, 'Financed Projects'!$B:$B, "Registered") + COUNTIFS('Financed Projects'!$E:$E, 'Financed Projects_summary'!B61, 'Financed Projects'!$G:$G, 'Financed Projects_summary'!$F$59, 'Financed Projects'!$B:$B, "Implementation") +COUNTIFS('Financed Projects'!$E:$E, 'Financed Projects_summary'!B61, 'Financed Projects'!$G:$G, 'Financed Projects_summary'!$F$59, 'Financed Projects'!$B:$B, "Installing")</f>
        <v>5</v>
      </c>
      <c r="G61" s="307">
        <f>COUNTIFS('Financed Projects'!$E:$E, 'Financed Projects_summary'!B61, 'Financed Projects'!$G:$G, 'Financed Projects_summary'!$G$59, 'Financed Projects'!$B:$B, "Registered") + COUNTIFS('Financed Projects'!$E:$E, 'Financed Projects_summary'!B61, 'Financed Projects'!$G:$G, 'Financed Projects_summary'!$G$59, 'Financed Projects'!$B:$B, "Implementation") +COUNTIFS('Financed Projects'!$E:$E, 'Financed Projects_summary'!B61, 'Financed Projects'!$G:$G, 'Financed Projects_summary'!$G$59, 'Financed Projects'!$B:$B, "Installing")</f>
        <v>1</v>
      </c>
      <c r="H61" s="307">
        <f>COUNTIFS('Financed Projects'!$E:$E, 'Financed Projects_summary'!B61, 'Financed Projects'!$G:$G, 'Financed Projects_summary'!$H$59, 'Financed Projects'!$B:$B, "Registered") + COUNTIFS('Financed Projects'!$E:$E, 'Financed Projects_summary'!B61, 'Financed Projects'!$G:$G, 'Financed Projects_summary'!$H$59, 'Financed Projects'!$B:$B, "Implementation") +COUNTIFS('Financed Projects'!$E:$E, 'Financed Projects_summary'!B61, 'Financed Projects'!$G:$G, 'Financed Projects_summary'!$H$59, 'Financed Projects'!$B:$B, "Installing")</f>
        <v>0</v>
      </c>
      <c r="I61" s="307">
        <f t="shared" ref="I61:I76" si="2">SUM(C61:H61)</f>
        <v>34</v>
      </c>
      <c r="J61" s="152"/>
      <c r="K61" s="152"/>
      <c r="L61" s="152"/>
      <c r="M61" s="152"/>
      <c r="N61" s="152"/>
      <c r="O61" s="199"/>
    </row>
    <row r="62" spans="1:15" x14ac:dyDescent="0.2">
      <c r="A62" s="196"/>
      <c r="B62" s="307" t="s">
        <v>630</v>
      </c>
      <c r="C62" s="307">
        <f>COUNTIFS('Financed Projects'!$E:$E, 'Financed Projects_summary'!B62, 'Financed Projects'!$G:$G, 'Financed Projects_summary'!$C$59, 'Financed Projects'!$B:$B, "Registered") + COUNTIFS('Financed Projects'!$E:$E, 'Financed Projects_summary'!B62, 'Financed Projects'!$G:$G, 'Financed Projects_summary'!$C$59, 'Financed Projects'!$B:$B, "Implementation") +COUNTIFS('Financed Projects'!$E:$E, 'Financed Projects_summary'!B62, 'Financed Projects'!$G:$G, 'Financed Projects_summary'!$C$59, 'Financed Projects'!$B:$B, "Installing")</f>
        <v>23</v>
      </c>
      <c r="D62" s="307">
        <f>COUNTIFS('Financed Projects'!$E:$E, 'Financed Projects_summary'!B62, 'Financed Projects'!$G:$G, 'Financed Projects_summary'!$D$59, 'Financed Projects'!$B:$B, "Registered") + COUNTIFS('Financed Projects'!$E:$E, 'Financed Projects_summary'!B62, 'Financed Projects'!$G:$G, 'Financed Projects_summary'!$D$59, 'Financed Projects'!$B:$B, "Implementation") +COUNTIFS('Financed Projects'!$E:$E, 'Financed Projects_summary'!B62, 'Financed Projects'!$G:$G, 'Financed Projects_summary'!$D$59, 'Financed Projects'!$B:$B, "Installing")</f>
        <v>5</v>
      </c>
      <c r="E62" s="307">
        <f>COUNTIFS('Financed Projects'!$E:$E, 'Financed Projects_summary'!B62, 'Financed Projects'!$G:$G, 'Financed Projects_summary'!$E$59, 'Financed Projects'!$B:$B, "Registered") + COUNTIFS('Financed Projects'!$E:$E, 'Financed Projects_summary'!B62, 'Financed Projects'!$G:$G, 'Financed Projects_summary'!$E$59, 'Financed Projects'!$B:$B, "Implementation") +COUNTIFS('Financed Projects'!$E:$E, 'Financed Projects_summary'!B62, 'Financed Projects'!$G:$G, 'Financed Projects_summary'!$E$59, 'Financed Projects'!$B:$B, "Installing")</f>
        <v>2</v>
      </c>
      <c r="F62" s="307">
        <f>COUNTIFS('Financed Projects'!$E:$E, 'Financed Projects_summary'!B62, 'Financed Projects'!$G:$G, 'Financed Projects_summary'!$F$59, 'Financed Projects'!$B:$B, "Registered") + COUNTIFS('Financed Projects'!$E:$E, 'Financed Projects_summary'!B62, 'Financed Projects'!$G:$G, 'Financed Projects_summary'!$F$59, 'Financed Projects'!$B:$B, "Implementation") +COUNTIFS('Financed Projects'!$E:$E, 'Financed Projects_summary'!B62, 'Financed Projects'!$G:$G, 'Financed Projects_summary'!$F$59, 'Financed Projects'!$B:$B, "Installing")</f>
        <v>1</v>
      </c>
      <c r="G62" s="307">
        <f>COUNTIFS('Financed Projects'!$E:$E, 'Financed Projects_summary'!B62, 'Financed Projects'!$G:$G, 'Financed Projects_summary'!$G$59, 'Financed Projects'!$B:$B, "Registered") + COUNTIFS('Financed Projects'!$E:$E, 'Financed Projects_summary'!B62, 'Financed Projects'!$G:$G, 'Financed Projects_summary'!$G$59, 'Financed Projects'!$B:$B, "Implementation") +COUNTIFS('Financed Projects'!$E:$E, 'Financed Projects_summary'!B62, 'Financed Projects'!$G:$G, 'Financed Projects_summary'!$G$59, 'Financed Projects'!$B:$B, "Installing")</f>
        <v>1</v>
      </c>
      <c r="H62" s="307">
        <f>COUNTIFS('Financed Projects'!$E:$E, 'Financed Projects_summary'!B62, 'Financed Projects'!$G:$G, 'Financed Projects_summary'!$H$59, 'Financed Projects'!$B:$B, "Registered") + COUNTIFS('Financed Projects'!$E:$E, 'Financed Projects_summary'!B62, 'Financed Projects'!$G:$G, 'Financed Projects_summary'!$H$59, 'Financed Projects'!$B:$B, "Implementation") +COUNTIFS('Financed Projects'!$E:$E, 'Financed Projects_summary'!B62, 'Financed Projects'!$G:$G, 'Financed Projects_summary'!$H$59, 'Financed Projects'!$B:$B, "Installing")</f>
        <v>0</v>
      </c>
      <c r="I62" s="307">
        <f t="shared" si="2"/>
        <v>32</v>
      </c>
      <c r="J62" s="152"/>
      <c r="K62" s="152"/>
      <c r="L62" s="152"/>
      <c r="M62" s="152"/>
      <c r="N62" s="152"/>
      <c r="O62" s="199"/>
    </row>
    <row r="63" spans="1:15" x14ac:dyDescent="0.2">
      <c r="A63" s="196"/>
      <c r="B63" s="307" t="s">
        <v>509</v>
      </c>
      <c r="C63" s="307">
        <f>COUNTIFS('Financed Projects'!$E:$E, 'Financed Projects_summary'!B63, 'Financed Projects'!$G:$G, 'Financed Projects_summary'!$C$59, 'Financed Projects'!$B:$B, "Registered") + COUNTIFS('Financed Projects'!$E:$E, 'Financed Projects_summary'!B63, 'Financed Projects'!$G:$G, 'Financed Projects_summary'!$C$59, 'Financed Projects'!$B:$B, "Implementation") +COUNTIFS('Financed Projects'!$E:$E, 'Financed Projects_summary'!B63, 'Financed Projects'!$G:$G, 'Financed Projects_summary'!$C$59, 'Financed Projects'!$B:$B, "Installing")</f>
        <v>4</v>
      </c>
      <c r="D63" s="307">
        <f>COUNTIFS('Financed Projects'!$E:$E, 'Financed Projects_summary'!B63, 'Financed Projects'!$G:$G, 'Financed Projects_summary'!$D$59, 'Financed Projects'!$B:$B, "Registered") + COUNTIFS('Financed Projects'!$E:$E, 'Financed Projects_summary'!B63, 'Financed Projects'!$G:$G, 'Financed Projects_summary'!$D$59, 'Financed Projects'!$B:$B, "Implementation") +COUNTIFS('Financed Projects'!$E:$E, 'Financed Projects_summary'!B63, 'Financed Projects'!$G:$G, 'Financed Projects_summary'!$D$59, 'Financed Projects'!$B:$B, "Installing")</f>
        <v>6</v>
      </c>
      <c r="E63" s="307">
        <f>COUNTIFS('Financed Projects'!$E:$E, 'Financed Projects_summary'!B63, 'Financed Projects'!$G:$G, 'Financed Projects_summary'!$E$59, 'Financed Projects'!$B:$B, "Registered") + COUNTIFS('Financed Projects'!$E:$E, 'Financed Projects_summary'!B63, 'Financed Projects'!$G:$G, 'Financed Projects_summary'!$E$59, 'Financed Projects'!$B:$B, "Implementation") +COUNTIFS('Financed Projects'!$E:$E, 'Financed Projects_summary'!B63, 'Financed Projects'!$G:$G, 'Financed Projects_summary'!$E$59, 'Financed Projects'!$B:$B, "Installing")</f>
        <v>0</v>
      </c>
      <c r="F63" s="307">
        <f>COUNTIFS('Financed Projects'!$E:$E, 'Financed Projects_summary'!B63, 'Financed Projects'!$G:$G, 'Financed Projects_summary'!$F$59, 'Financed Projects'!$B:$B, "Registered") + COUNTIFS('Financed Projects'!$E:$E, 'Financed Projects_summary'!B63, 'Financed Projects'!$G:$G, 'Financed Projects_summary'!$F$59, 'Financed Projects'!$B:$B, "Implementation") +COUNTIFS('Financed Projects'!$E:$E, 'Financed Projects_summary'!B63, 'Financed Projects'!$G:$G, 'Financed Projects_summary'!$F$59, 'Financed Projects'!$B:$B, "Installing")</f>
        <v>0</v>
      </c>
      <c r="G63" s="307">
        <f>COUNTIFS('Financed Projects'!$E:$E, 'Financed Projects_summary'!B63, 'Financed Projects'!$G:$G, 'Financed Projects_summary'!$G$59, 'Financed Projects'!$B:$B, "Registered") + COUNTIFS('Financed Projects'!$E:$E, 'Financed Projects_summary'!B63, 'Financed Projects'!$G:$G, 'Financed Projects_summary'!$G$59, 'Financed Projects'!$B:$B, "Implementation") +COUNTIFS('Financed Projects'!$E:$E, 'Financed Projects_summary'!B63, 'Financed Projects'!$G:$G, 'Financed Projects_summary'!$G$59, 'Financed Projects'!$B:$B, "Installing")</f>
        <v>0</v>
      </c>
      <c r="H63" s="307">
        <f>COUNTIFS('Financed Projects'!$E:$E, 'Financed Projects_summary'!B63, 'Financed Projects'!$G:$G, 'Financed Projects_summary'!$H$59, 'Financed Projects'!$B:$B, "Registered") + COUNTIFS('Financed Projects'!$E:$E, 'Financed Projects_summary'!B63, 'Financed Projects'!$G:$G, 'Financed Projects_summary'!$H$59, 'Financed Projects'!$B:$B, "Implementation") +COUNTIFS('Financed Projects'!$E:$E, 'Financed Projects_summary'!B63, 'Financed Projects'!$G:$G, 'Financed Projects_summary'!$H$59, 'Financed Projects'!$B:$B, "Installing")</f>
        <v>0</v>
      </c>
      <c r="I63" s="307">
        <f t="shared" si="2"/>
        <v>10</v>
      </c>
      <c r="J63" s="152"/>
      <c r="K63" s="152"/>
      <c r="L63" s="152"/>
      <c r="M63" s="152"/>
      <c r="N63" s="152"/>
      <c r="O63" s="199"/>
    </row>
    <row r="64" spans="1:15" x14ac:dyDescent="0.2">
      <c r="A64" s="196"/>
      <c r="B64" s="307" t="s">
        <v>771</v>
      </c>
      <c r="C64" s="307">
        <f>COUNTIFS('Financed Projects'!$E:$E, 'Financed Projects_summary'!B64, 'Financed Projects'!$G:$G, 'Financed Projects_summary'!$C$59, 'Financed Projects'!$B:$B, "Registered") + COUNTIFS('Financed Projects'!$E:$E, 'Financed Projects_summary'!B64, 'Financed Projects'!$G:$G, 'Financed Projects_summary'!$C$59, 'Financed Projects'!$B:$B, "Implementation") +COUNTIFS('Financed Projects'!$E:$E, 'Financed Projects_summary'!B64, 'Financed Projects'!$G:$G, 'Financed Projects_summary'!$C$59, 'Financed Projects'!$B:$B, "Installing")</f>
        <v>0</v>
      </c>
      <c r="D64" s="307">
        <f>COUNTIFS('Financed Projects'!$E:$E, 'Financed Projects_summary'!B64, 'Financed Projects'!$G:$G, 'Financed Projects_summary'!$D$59, 'Financed Projects'!$B:$B, "Registered") + COUNTIFS('Financed Projects'!$E:$E, 'Financed Projects_summary'!B64, 'Financed Projects'!$G:$G, 'Financed Projects_summary'!$D$59, 'Financed Projects'!$B:$B, "Implementation") +COUNTIFS('Financed Projects'!$E:$E, 'Financed Projects_summary'!B64, 'Financed Projects'!$G:$G, 'Financed Projects_summary'!$D$59, 'Financed Projects'!$B:$B, "Installing")</f>
        <v>11</v>
      </c>
      <c r="E64" s="307">
        <f>COUNTIFS('Financed Projects'!$E:$E, 'Financed Projects_summary'!B64, 'Financed Projects'!$G:$G, 'Financed Projects_summary'!$E$59, 'Financed Projects'!$B:$B, "Registered") + COUNTIFS('Financed Projects'!$E:$E, 'Financed Projects_summary'!B64, 'Financed Projects'!$G:$G, 'Financed Projects_summary'!$E$59, 'Financed Projects'!$B:$B, "Implementation") +COUNTIFS('Financed Projects'!$E:$E, 'Financed Projects_summary'!B64, 'Financed Projects'!$G:$G, 'Financed Projects_summary'!$E$59, 'Financed Projects'!$B:$B, "Installing")</f>
        <v>0</v>
      </c>
      <c r="F64" s="307">
        <f>COUNTIFS('Financed Projects'!$E:$E, 'Financed Projects_summary'!B64, 'Financed Projects'!$G:$G, 'Financed Projects_summary'!$F$59, 'Financed Projects'!$B:$B, "Registered") + COUNTIFS('Financed Projects'!$E:$E, 'Financed Projects_summary'!B64, 'Financed Projects'!$G:$G, 'Financed Projects_summary'!$F$59, 'Financed Projects'!$B:$B, "Implementation") +COUNTIFS('Financed Projects'!$E:$E, 'Financed Projects_summary'!B64, 'Financed Projects'!$G:$G, 'Financed Projects_summary'!$F$59, 'Financed Projects'!$B:$B, "Installing")</f>
        <v>2</v>
      </c>
      <c r="G64" s="307">
        <f>COUNTIFS('Financed Projects'!$E:$E, 'Financed Projects_summary'!B64, 'Financed Projects'!$G:$G, 'Financed Projects_summary'!$G$59, 'Financed Projects'!$B:$B, "Registered") + COUNTIFS('Financed Projects'!$E:$E, 'Financed Projects_summary'!B64, 'Financed Projects'!$G:$G, 'Financed Projects_summary'!$G$59, 'Financed Projects'!$B:$B, "Implementation") +COUNTIFS('Financed Projects'!$E:$E, 'Financed Projects_summary'!B64, 'Financed Projects'!$G:$G, 'Financed Projects_summary'!$G$59, 'Financed Projects'!$B:$B, "Installing")</f>
        <v>0</v>
      </c>
      <c r="H64" s="307">
        <f>COUNTIFS('Financed Projects'!$E:$E, 'Financed Projects_summary'!B64, 'Financed Projects'!$G:$G, 'Financed Projects_summary'!$H$59, 'Financed Projects'!$B:$B, "Registered") + COUNTIFS('Financed Projects'!$E:$E, 'Financed Projects_summary'!B64, 'Financed Projects'!$G:$G, 'Financed Projects_summary'!$H$59, 'Financed Projects'!$B:$B, "Implementation") +COUNTIFS('Financed Projects'!$E:$E, 'Financed Projects_summary'!B64, 'Financed Projects'!$G:$G, 'Financed Projects_summary'!$H$59, 'Financed Projects'!$B:$B, "Installing")</f>
        <v>0</v>
      </c>
      <c r="I64" s="307">
        <f t="shared" si="2"/>
        <v>13</v>
      </c>
      <c r="J64" s="152"/>
      <c r="K64" s="152"/>
      <c r="L64" s="152"/>
      <c r="M64" s="152"/>
      <c r="N64" s="152"/>
      <c r="O64" s="199"/>
    </row>
    <row r="65" spans="1:15" x14ac:dyDescent="0.2">
      <c r="A65" s="196"/>
      <c r="B65" s="307" t="s">
        <v>478</v>
      </c>
      <c r="C65" s="307">
        <f>COUNTIFS('Financed Projects'!$E:$E, 'Financed Projects_summary'!B65, 'Financed Projects'!$G:$G, 'Financed Projects_summary'!$C$59, 'Financed Projects'!$B:$B, "Registered") + COUNTIFS('Financed Projects'!$E:$E, 'Financed Projects_summary'!B65, 'Financed Projects'!$G:$G, 'Financed Projects_summary'!$C$59, 'Financed Projects'!$B:$B, "Implementation") +COUNTIFS('Financed Projects'!$E:$E, 'Financed Projects_summary'!B65, 'Financed Projects'!$G:$G, 'Financed Projects_summary'!$C$59, 'Financed Projects'!$B:$B, "Installing")</f>
        <v>2</v>
      </c>
      <c r="D65" s="307">
        <f>COUNTIFS('Financed Projects'!$E:$E, 'Financed Projects_summary'!B65, 'Financed Projects'!$G:$G, 'Financed Projects_summary'!$D$59, 'Financed Projects'!$B:$B, "Registered") + COUNTIFS('Financed Projects'!$E:$E, 'Financed Projects_summary'!B65, 'Financed Projects'!$G:$G, 'Financed Projects_summary'!$D$59, 'Financed Projects'!$B:$B, "Implementation") +COUNTIFS('Financed Projects'!$E:$E, 'Financed Projects_summary'!B65, 'Financed Projects'!$G:$G, 'Financed Projects_summary'!$D$59, 'Financed Projects'!$B:$B, "Installing")</f>
        <v>0</v>
      </c>
      <c r="E65" s="307">
        <f>COUNTIFS('Financed Projects'!$E:$E, 'Financed Projects_summary'!B65, 'Financed Projects'!$G:$G, 'Financed Projects_summary'!$E$59, 'Financed Projects'!$B:$B, "Registered") + COUNTIFS('Financed Projects'!$E:$E, 'Financed Projects_summary'!B65, 'Financed Projects'!$G:$G, 'Financed Projects_summary'!$E$59, 'Financed Projects'!$B:$B, "Implementation") +COUNTIFS('Financed Projects'!$E:$E, 'Financed Projects_summary'!B65, 'Financed Projects'!$G:$G, 'Financed Projects_summary'!$E$59, 'Financed Projects'!$B:$B, "Installing")</f>
        <v>0</v>
      </c>
      <c r="F65" s="307">
        <f>COUNTIFS('Financed Projects'!$E:$E, 'Financed Projects_summary'!B65, 'Financed Projects'!$G:$G, 'Financed Projects_summary'!$F$59, 'Financed Projects'!$B:$B, "Registered") + COUNTIFS('Financed Projects'!$E:$E, 'Financed Projects_summary'!B65, 'Financed Projects'!$G:$G, 'Financed Projects_summary'!$F$59, 'Financed Projects'!$B:$B, "Implementation") +COUNTIFS('Financed Projects'!$E:$E, 'Financed Projects_summary'!B65, 'Financed Projects'!$G:$G, 'Financed Projects_summary'!$F$59, 'Financed Projects'!$B:$B, "Installing")</f>
        <v>5</v>
      </c>
      <c r="G65" s="307">
        <f>COUNTIFS('Financed Projects'!$E:$E, 'Financed Projects_summary'!B65, 'Financed Projects'!$G:$G, 'Financed Projects_summary'!$G$59, 'Financed Projects'!$B:$B, "Registered") + COUNTIFS('Financed Projects'!$E:$E, 'Financed Projects_summary'!B65, 'Financed Projects'!$G:$G, 'Financed Projects_summary'!$G$59, 'Financed Projects'!$B:$B, "Implementation") +COUNTIFS('Financed Projects'!$E:$E, 'Financed Projects_summary'!B65, 'Financed Projects'!$G:$G, 'Financed Projects_summary'!$G$59, 'Financed Projects'!$B:$B, "Installing")</f>
        <v>0</v>
      </c>
      <c r="H65" s="307">
        <f>COUNTIFS('Financed Projects'!$E:$E, 'Financed Projects_summary'!B65, 'Financed Projects'!$G:$G, 'Financed Projects_summary'!$H$59, 'Financed Projects'!$B:$B, "Registered") + COUNTIFS('Financed Projects'!$E:$E, 'Financed Projects_summary'!B65, 'Financed Projects'!$G:$G, 'Financed Projects_summary'!$H$59, 'Financed Projects'!$B:$B, "Implementation") +COUNTIFS('Financed Projects'!$E:$E, 'Financed Projects_summary'!B65, 'Financed Projects'!$G:$G, 'Financed Projects_summary'!$H$59, 'Financed Projects'!$B:$B, "Installing")</f>
        <v>0</v>
      </c>
      <c r="I65" s="307">
        <f t="shared" si="2"/>
        <v>7</v>
      </c>
      <c r="J65" s="152"/>
      <c r="K65" s="152"/>
      <c r="L65" s="152"/>
      <c r="M65" s="152"/>
      <c r="N65" s="152"/>
      <c r="O65" s="199"/>
    </row>
    <row r="66" spans="1:15" x14ac:dyDescent="0.2">
      <c r="A66" s="196"/>
      <c r="B66" s="307" t="s">
        <v>542</v>
      </c>
      <c r="C66" s="307">
        <f>COUNTIFS('Financed Projects'!$E:$E, 'Financed Projects_summary'!B66, 'Financed Projects'!$G:$G, 'Financed Projects_summary'!$C$59, 'Financed Projects'!$B:$B, "Registered") + COUNTIFS('Financed Projects'!$E:$E, 'Financed Projects_summary'!B66, 'Financed Projects'!$G:$G, 'Financed Projects_summary'!$C$59, 'Financed Projects'!$B:$B, "Implementation") +COUNTIFS('Financed Projects'!$E:$E, 'Financed Projects_summary'!B66, 'Financed Projects'!$G:$G, 'Financed Projects_summary'!$C$59, 'Financed Projects'!$B:$B, "Installing")</f>
        <v>2</v>
      </c>
      <c r="D66" s="307">
        <f>COUNTIFS('Financed Projects'!$E:$E, 'Financed Projects_summary'!B66, 'Financed Projects'!$G:$G, 'Financed Projects_summary'!$D$59, 'Financed Projects'!$B:$B, "Registered") + COUNTIFS('Financed Projects'!$E:$E, 'Financed Projects_summary'!B66, 'Financed Projects'!$G:$G, 'Financed Projects_summary'!$D$59, 'Financed Projects'!$B:$B, "Implementation") +COUNTIFS('Financed Projects'!$E:$E, 'Financed Projects_summary'!B66, 'Financed Projects'!$G:$G, 'Financed Projects_summary'!$D$59, 'Financed Projects'!$B:$B, "Installing")</f>
        <v>3</v>
      </c>
      <c r="E66" s="307">
        <f>COUNTIFS('Financed Projects'!$E:$E, 'Financed Projects_summary'!B66, 'Financed Projects'!$G:$G, 'Financed Projects_summary'!$E$59, 'Financed Projects'!$B:$B, "Registered") + COUNTIFS('Financed Projects'!$E:$E, 'Financed Projects_summary'!B66, 'Financed Projects'!$G:$G, 'Financed Projects_summary'!$E$59, 'Financed Projects'!$B:$B, "Implementation") +COUNTIFS('Financed Projects'!$E:$E, 'Financed Projects_summary'!B66, 'Financed Projects'!$G:$G, 'Financed Projects_summary'!$E$59, 'Financed Projects'!$B:$B, "Installing")</f>
        <v>0</v>
      </c>
      <c r="F66" s="307">
        <f>COUNTIFS('Financed Projects'!$E:$E, 'Financed Projects_summary'!B66, 'Financed Projects'!$G:$G, 'Financed Projects_summary'!$F$59, 'Financed Projects'!$B:$B, "Registered") + COUNTIFS('Financed Projects'!$E:$E, 'Financed Projects_summary'!B66, 'Financed Projects'!$G:$G, 'Financed Projects_summary'!$F$59, 'Financed Projects'!$B:$B, "Implementation") +COUNTIFS('Financed Projects'!$E:$E, 'Financed Projects_summary'!B66, 'Financed Projects'!$G:$G, 'Financed Projects_summary'!$F$59, 'Financed Projects'!$B:$B, "Installing")</f>
        <v>1</v>
      </c>
      <c r="G66" s="307">
        <f>COUNTIFS('Financed Projects'!$E:$E, 'Financed Projects_summary'!B66, 'Financed Projects'!$G:$G, 'Financed Projects_summary'!$G$59, 'Financed Projects'!$B:$B, "Registered") + COUNTIFS('Financed Projects'!$E:$E, 'Financed Projects_summary'!B66, 'Financed Projects'!$G:$G, 'Financed Projects_summary'!$G$59, 'Financed Projects'!$B:$B, "Implementation") +COUNTIFS('Financed Projects'!$E:$E, 'Financed Projects_summary'!B66, 'Financed Projects'!$G:$G, 'Financed Projects_summary'!$G$59, 'Financed Projects'!$B:$B, "Installing")</f>
        <v>0</v>
      </c>
      <c r="H66" s="307">
        <f>COUNTIFS('Financed Projects'!$E:$E, 'Financed Projects_summary'!B66, 'Financed Projects'!$G:$G, 'Financed Projects_summary'!$H$59, 'Financed Projects'!$B:$B, "Registered") + COUNTIFS('Financed Projects'!$E:$E, 'Financed Projects_summary'!B66, 'Financed Projects'!$G:$G, 'Financed Projects_summary'!$H$59, 'Financed Projects'!$B:$B, "Implementation") +COUNTIFS('Financed Projects'!$E:$E, 'Financed Projects_summary'!B66, 'Financed Projects'!$G:$G, 'Financed Projects_summary'!$H$59, 'Financed Projects'!$B:$B, "Installing")</f>
        <v>0</v>
      </c>
      <c r="I66" s="307">
        <f t="shared" si="2"/>
        <v>6</v>
      </c>
      <c r="J66" s="152"/>
      <c r="K66" s="152"/>
      <c r="L66" s="152"/>
      <c r="M66" s="152"/>
      <c r="N66" s="152"/>
      <c r="O66" s="199"/>
    </row>
    <row r="67" spans="1:15" x14ac:dyDescent="0.2">
      <c r="A67" s="196"/>
      <c r="B67" s="307" t="s">
        <v>145</v>
      </c>
      <c r="C67" s="307">
        <f>COUNTIFS('Financed Projects'!$E:$E, 'Financed Projects_summary'!B67, 'Financed Projects'!$G:$G, 'Financed Projects_summary'!$C$59, 'Financed Projects'!$B:$B, "Registered") + COUNTIFS('Financed Projects'!$E:$E, 'Financed Projects_summary'!B67, 'Financed Projects'!$G:$G, 'Financed Projects_summary'!$C$59, 'Financed Projects'!$B:$B, "Implementation") +COUNTIFS('Financed Projects'!$E:$E, 'Financed Projects_summary'!B67, 'Financed Projects'!$G:$G, 'Financed Projects_summary'!$C$59, 'Financed Projects'!$B:$B, "Installing")</f>
        <v>4</v>
      </c>
      <c r="D67" s="307">
        <f>COUNTIFS('Financed Projects'!$E:$E, 'Financed Projects_summary'!B67, 'Financed Projects'!$G:$G, 'Financed Projects_summary'!$D$59, 'Financed Projects'!$B:$B, "Registered") + COUNTIFS('Financed Projects'!$E:$E, 'Financed Projects_summary'!B67, 'Financed Projects'!$G:$G, 'Financed Projects_summary'!$D$59, 'Financed Projects'!$B:$B, "Implementation") +COUNTIFS('Financed Projects'!$E:$E, 'Financed Projects_summary'!B67, 'Financed Projects'!$G:$G, 'Financed Projects_summary'!$D$59, 'Financed Projects'!$B:$B, "Installing")</f>
        <v>1</v>
      </c>
      <c r="E67" s="307">
        <f>COUNTIFS('Financed Projects'!$E:$E, 'Financed Projects_summary'!B67, 'Financed Projects'!$G:$G, 'Financed Projects_summary'!$E$59, 'Financed Projects'!$B:$B, "Registered") + COUNTIFS('Financed Projects'!$E:$E, 'Financed Projects_summary'!B67, 'Financed Projects'!$G:$G, 'Financed Projects_summary'!$E$59, 'Financed Projects'!$B:$B, "Implementation") +COUNTIFS('Financed Projects'!$E:$E, 'Financed Projects_summary'!B67, 'Financed Projects'!$G:$G, 'Financed Projects_summary'!$E$59, 'Financed Projects'!$B:$B, "Installing")</f>
        <v>0</v>
      </c>
      <c r="F67" s="307">
        <f>COUNTIFS('Financed Projects'!$E:$E, 'Financed Projects_summary'!B67, 'Financed Projects'!$G:$G, 'Financed Projects_summary'!$F$59, 'Financed Projects'!$B:$B, "Registered") + COUNTIFS('Financed Projects'!$E:$E, 'Financed Projects_summary'!B67, 'Financed Projects'!$G:$G, 'Financed Projects_summary'!$F$59, 'Financed Projects'!$B:$B, "Implementation") +COUNTIFS('Financed Projects'!$E:$E, 'Financed Projects_summary'!B67, 'Financed Projects'!$G:$G, 'Financed Projects_summary'!$F$59, 'Financed Projects'!$B:$B, "Installing")</f>
        <v>0</v>
      </c>
      <c r="G67" s="307">
        <f>COUNTIFS('Financed Projects'!$E:$E, 'Financed Projects_summary'!B67, 'Financed Projects'!$G:$G, 'Financed Projects_summary'!$G$59, 'Financed Projects'!$B:$B, "Registered") + COUNTIFS('Financed Projects'!$E:$E, 'Financed Projects_summary'!B67, 'Financed Projects'!$G:$G, 'Financed Projects_summary'!$G$59, 'Financed Projects'!$B:$B, "Implementation") +COUNTIFS('Financed Projects'!$E:$E, 'Financed Projects_summary'!B67, 'Financed Projects'!$G:$G, 'Financed Projects_summary'!$G$59, 'Financed Projects'!$B:$B, "Installing")</f>
        <v>0</v>
      </c>
      <c r="H67" s="307">
        <f>COUNTIFS('Financed Projects'!$E:$E, 'Financed Projects_summary'!B67, 'Financed Projects'!$G:$G, 'Financed Projects_summary'!$H$59, 'Financed Projects'!$B:$B, "Registered") + COUNTIFS('Financed Projects'!$E:$E, 'Financed Projects_summary'!B67, 'Financed Projects'!$G:$G, 'Financed Projects_summary'!$H$59, 'Financed Projects'!$B:$B, "Implementation") +COUNTIFS('Financed Projects'!$E:$E, 'Financed Projects_summary'!B67, 'Financed Projects'!$G:$G, 'Financed Projects_summary'!$H$59, 'Financed Projects'!$B:$B, "Installing")</f>
        <v>0</v>
      </c>
      <c r="I67" s="307">
        <f t="shared" si="2"/>
        <v>5</v>
      </c>
      <c r="J67" s="152"/>
      <c r="K67" s="152"/>
      <c r="L67" s="152"/>
      <c r="M67" s="152"/>
      <c r="N67" s="152"/>
      <c r="O67" s="199"/>
    </row>
    <row r="68" spans="1:15" x14ac:dyDescent="0.2">
      <c r="A68" s="196"/>
      <c r="B68" s="307" t="s">
        <v>444</v>
      </c>
      <c r="C68" s="307">
        <f>COUNTIFS('Financed Projects'!$E:$E, 'Financed Projects_summary'!B68, 'Financed Projects'!$G:$G, 'Financed Projects_summary'!$C$59, 'Financed Projects'!$B:$B, "Registered") + COUNTIFS('Financed Projects'!$E:$E, 'Financed Projects_summary'!B68, 'Financed Projects'!$G:$G, 'Financed Projects_summary'!$C$59, 'Financed Projects'!$B:$B, "Implementation") +COUNTIFS('Financed Projects'!$E:$E, 'Financed Projects_summary'!B68, 'Financed Projects'!$G:$G, 'Financed Projects_summary'!$C$59, 'Financed Projects'!$B:$B, "Installing")</f>
        <v>2</v>
      </c>
      <c r="D68" s="307">
        <f>COUNTIFS('Financed Projects'!$E:$E, 'Financed Projects_summary'!B68, 'Financed Projects'!$G:$G, 'Financed Projects_summary'!$D$59, 'Financed Projects'!$B:$B, "Registered") + COUNTIFS('Financed Projects'!$E:$E, 'Financed Projects_summary'!B68, 'Financed Projects'!$G:$G, 'Financed Projects_summary'!$D$59, 'Financed Projects'!$B:$B, "Implementation") +COUNTIFS('Financed Projects'!$E:$E, 'Financed Projects_summary'!B68, 'Financed Projects'!$G:$G, 'Financed Projects_summary'!$D$59, 'Financed Projects'!$B:$B, "Installing")</f>
        <v>4</v>
      </c>
      <c r="E68" s="307">
        <f>COUNTIFS('Financed Projects'!$E:$E, 'Financed Projects_summary'!B68, 'Financed Projects'!$G:$G, 'Financed Projects_summary'!$E$59, 'Financed Projects'!$B:$B, "Registered") + COUNTIFS('Financed Projects'!$E:$E, 'Financed Projects_summary'!B68, 'Financed Projects'!$G:$G, 'Financed Projects_summary'!$E$59, 'Financed Projects'!$B:$B, "Implementation") +COUNTIFS('Financed Projects'!$E:$E, 'Financed Projects_summary'!B68, 'Financed Projects'!$G:$G, 'Financed Projects_summary'!$E$59, 'Financed Projects'!$B:$B, "Installing")</f>
        <v>0</v>
      </c>
      <c r="F68" s="307">
        <f>COUNTIFS('Financed Projects'!$E:$E, 'Financed Projects_summary'!B68, 'Financed Projects'!$G:$G, 'Financed Projects_summary'!$F$59, 'Financed Projects'!$B:$B, "Registered") + COUNTIFS('Financed Projects'!$E:$E, 'Financed Projects_summary'!B68, 'Financed Projects'!$G:$G, 'Financed Projects_summary'!$F$59, 'Financed Projects'!$B:$B, "Implementation") +COUNTIFS('Financed Projects'!$E:$E, 'Financed Projects_summary'!B68, 'Financed Projects'!$G:$G, 'Financed Projects_summary'!$F$59, 'Financed Projects'!$B:$B, "Installing")</f>
        <v>1</v>
      </c>
      <c r="G68" s="307">
        <f>COUNTIFS('Financed Projects'!$E:$E, 'Financed Projects_summary'!B68, 'Financed Projects'!$G:$G, 'Financed Projects_summary'!$G$59, 'Financed Projects'!$B:$B, "Registered") + COUNTIFS('Financed Projects'!$E:$E, 'Financed Projects_summary'!B68, 'Financed Projects'!$G:$G, 'Financed Projects_summary'!$G$59, 'Financed Projects'!$B:$B, "Implementation") +COUNTIFS('Financed Projects'!$E:$E, 'Financed Projects_summary'!B68, 'Financed Projects'!$G:$G, 'Financed Projects_summary'!$G$59, 'Financed Projects'!$B:$B, "Installing")</f>
        <v>0</v>
      </c>
      <c r="H68" s="307">
        <f>COUNTIFS('Financed Projects'!$E:$E, 'Financed Projects_summary'!B68, 'Financed Projects'!$G:$G, 'Financed Projects_summary'!$H$59, 'Financed Projects'!$B:$B, "Registered") + COUNTIFS('Financed Projects'!$E:$E, 'Financed Projects_summary'!B68, 'Financed Projects'!$G:$G, 'Financed Projects_summary'!$H$59, 'Financed Projects'!$B:$B, "Implementation") +COUNTIFS('Financed Projects'!$E:$E, 'Financed Projects_summary'!B68, 'Financed Projects'!$G:$G, 'Financed Projects_summary'!$H$59, 'Financed Projects'!$B:$B, "Installing")</f>
        <v>0</v>
      </c>
      <c r="I68" s="307">
        <f t="shared" si="2"/>
        <v>7</v>
      </c>
      <c r="J68" s="152"/>
      <c r="K68" s="152"/>
      <c r="L68" s="152"/>
      <c r="M68" s="152"/>
      <c r="N68" s="152"/>
      <c r="O68" s="199"/>
    </row>
    <row r="69" spans="1:15" x14ac:dyDescent="0.2">
      <c r="A69" s="196"/>
      <c r="B69" s="307" t="s">
        <v>458</v>
      </c>
      <c r="C69" s="307">
        <f>COUNTIFS('Financed Projects'!$E:$E, 'Financed Projects_summary'!B69, 'Financed Projects'!$G:$G, 'Financed Projects_summary'!$C$59, 'Financed Projects'!$B:$B, "Registered") + COUNTIFS('Financed Projects'!$E:$E, 'Financed Projects_summary'!B69, 'Financed Projects'!$G:$G, 'Financed Projects_summary'!$C$59, 'Financed Projects'!$B:$B, "Implementation") +COUNTIFS('Financed Projects'!$E:$E, 'Financed Projects_summary'!B69, 'Financed Projects'!$G:$G, 'Financed Projects_summary'!$C$59, 'Financed Projects'!$B:$B, "Installing")</f>
        <v>2</v>
      </c>
      <c r="D69" s="307">
        <f>COUNTIFS('Financed Projects'!$E:$E, 'Financed Projects_summary'!B69, 'Financed Projects'!$G:$G, 'Financed Projects_summary'!$D$59, 'Financed Projects'!$B:$B, "Registered") + COUNTIFS('Financed Projects'!$E:$E, 'Financed Projects_summary'!B69, 'Financed Projects'!$G:$G, 'Financed Projects_summary'!$D$59, 'Financed Projects'!$B:$B, "Implementation") +COUNTIFS('Financed Projects'!$E:$E, 'Financed Projects_summary'!B69, 'Financed Projects'!$G:$G, 'Financed Projects_summary'!$D$59, 'Financed Projects'!$B:$B, "Installing")</f>
        <v>3</v>
      </c>
      <c r="E69" s="307">
        <f>COUNTIFS('Financed Projects'!$E:$E, 'Financed Projects_summary'!B69, 'Financed Projects'!$G:$G, 'Financed Projects_summary'!$E$59, 'Financed Projects'!$B:$B, "Registered") + COUNTIFS('Financed Projects'!$E:$E, 'Financed Projects_summary'!B69, 'Financed Projects'!$G:$G, 'Financed Projects_summary'!$E$59, 'Financed Projects'!$B:$B, "Implementation") +COUNTIFS('Financed Projects'!$E:$E, 'Financed Projects_summary'!B69, 'Financed Projects'!$G:$G, 'Financed Projects_summary'!$E$59, 'Financed Projects'!$B:$B, "Installing")</f>
        <v>0</v>
      </c>
      <c r="F69" s="307">
        <f>COUNTIFS('Financed Projects'!$E:$E, 'Financed Projects_summary'!B69, 'Financed Projects'!$G:$G, 'Financed Projects_summary'!$F$59, 'Financed Projects'!$B:$B, "Registered") + COUNTIFS('Financed Projects'!$E:$E, 'Financed Projects_summary'!B69, 'Financed Projects'!$G:$G, 'Financed Projects_summary'!$F$59, 'Financed Projects'!$B:$B, "Implementation") +COUNTIFS('Financed Projects'!$E:$E, 'Financed Projects_summary'!B69, 'Financed Projects'!$G:$G, 'Financed Projects_summary'!$F$59, 'Financed Projects'!$B:$B, "Installing")</f>
        <v>0</v>
      </c>
      <c r="G69" s="307">
        <f>COUNTIFS('Financed Projects'!$E:$E, 'Financed Projects_summary'!B69, 'Financed Projects'!$G:$G, 'Financed Projects_summary'!$G$59, 'Financed Projects'!$B:$B, "Registered") + COUNTIFS('Financed Projects'!$E:$E, 'Financed Projects_summary'!B69, 'Financed Projects'!$G:$G, 'Financed Projects_summary'!$G$59, 'Financed Projects'!$B:$B, "Implementation") +COUNTIFS('Financed Projects'!$E:$E, 'Financed Projects_summary'!B69, 'Financed Projects'!$G:$G, 'Financed Projects_summary'!$G$59, 'Financed Projects'!$B:$B, "Installing")</f>
        <v>0</v>
      </c>
      <c r="H69" s="307">
        <f>COUNTIFS('Financed Projects'!$E:$E, 'Financed Projects_summary'!B69, 'Financed Projects'!$G:$G, 'Financed Projects_summary'!$H$59, 'Financed Projects'!$B:$B, "Registered") + COUNTIFS('Financed Projects'!$E:$E, 'Financed Projects_summary'!B69, 'Financed Projects'!$G:$G, 'Financed Projects_summary'!$H$59, 'Financed Projects'!$B:$B, "Implementation") +COUNTIFS('Financed Projects'!$E:$E, 'Financed Projects_summary'!B69, 'Financed Projects'!$G:$G, 'Financed Projects_summary'!$H$59, 'Financed Projects'!$B:$B, "Installing")</f>
        <v>1</v>
      </c>
      <c r="I69" s="307">
        <f t="shared" si="2"/>
        <v>6</v>
      </c>
      <c r="J69" s="152"/>
      <c r="K69" s="152"/>
      <c r="L69" s="152"/>
      <c r="M69" s="152"/>
      <c r="N69" s="152"/>
      <c r="O69" s="199"/>
    </row>
    <row r="70" spans="1:15" x14ac:dyDescent="0.2">
      <c r="A70" s="196"/>
      <c r="B70" s="307" t="s">
        <v>548</v>
      </c>
      <c r="C70" s="307">
        <f>COUNTIFS('Financed Projects'!$E:$E, 'Financed Projects_summary'!B70, 'Financed Projects'!$G:$G, 'Financed Projects_summary'!$C$59, 'Financed Projects'!$B:$B, "Registered") + COUNTIFS('Financed Projects'!$E:$E, 'Financed Projects_summary'!B70, 'Financed Projects'!$G:$G, 'Financed Projects_summary'!$C$59, 'Financed Projects'!$B:$B, "Implementation") +COUNTIFS('Financed Projects'!$E:$E, 'Financed Projects_summary'!B70, 'Financed Projects'!$G:$G, 'Financed Projects_summary'!$C$59, 'Financed Projects'!$B:$B, "Installing")</f>
        <v>0</v>
      </c>
      <c r="D70" s="307">
        <f>COUNTIFS('Financed Projects'!$E:$E, 'Financed Projects_summary'!B70, 'Financed Projects'!$G:$G, 'Financed Projects_summary'!$D$59, 'Financed Projects'!$B:$B, "Registered") + COUNTIFS('Financed Projects'!$E:$E, 'Financed Projects_summary'!B70, 'Financed Projects'!$G:$G, 'Financed Projects_summary'!$D$59, 'Financed Projects'!$B:$B, "Implementation") +COUNTIFS('Financed Projects'!$E:$E, 'Financed Projects_summary'!B70, 'Financed Projects'!$G:$G, 'Financed Projects_summary'!$D$59, 'Financed Projects'!$B:$B, "Installing")</f>
        <v>5</v>
      </c>
      <c r="E70" s="307">
        <f>COUNTIFS('Financed Projects'!$E:$E, 'Financed Projects_summary'!B70, 'Financed Projects'!$G:$G, 'Financed Projects_summary'!$E$59, 'Financed Projects'!$B:$B, "Registered") + COUNTIFS('Financed Projects'!$E:$E, 'Financed Projects_summary'!B70, 'Financed Projects'!$G:$G, 'Financed Projects_summary'!$E$59, 'Financed Projects'!$B:$B, "Implementation") +COUNTIFS('Financed Projects'!$E:$E, 'Financed Projects_summary'!B70, 'Financed Projects'!$G:$G, 'Financed Projects_summary'!$E$59, 'Financed Projects'!$B:$B, "Installing")</f>
        <v>0</v>
      </c>
      <c r="F70" s="307">
        <f>COUNTIFS('Financed Projects'!$E:$E, 'Financed Projects_summary'!B70, 'Financed Projects'!$G:$G, 'Financed Projects_summary'!$F$59, 'Financed Projects'!$B:$B, "Registered") + COUNTIFS('Financed Projects'!$E:$E, 'Financed Projects_summary'!B70, 'Financed Projects'!$G:$G, 'Financed Projects_summary'!$F$59, 'Financed Projects'!$B:$B, "Implementation") +COUNTIFS('Financed Projects'!$E:$E, 'Financed Projects_summary'!B70, 'Financed Projects'!$G:$G, 'Financed Projects_summary'!$F$59, 'Financed Projects'!$B:$B, "Installing")</f>
        <v>0</v>
      </c>
      <c r="G70" s="307">
        <f>COUNTIFS('Financed Projects'!$E:$E, 'Financed Projects_summary'!B70, 'Financed Projects'!$G:$G, 'Financed Projects_summary'!$G$59, 'Financed Projects'!$B:$B, "Registered") + COUNTIFS('Financed Projects'!$E:$E, 'Financed Projects_summary'!B70, 'Financed Projects'!$G:$G, 'Financed Projects_summary'!$G$59, 'Financed Projects'!$B:$B, "Implementation") +COUNTIFS('Financed Projects'!$E:$E, 'Financed Projects_summary'!B70, 'Financed Projects'!$G:$G, 'Financed Projects_summary'!$G$59, 'Financed Projects'!$B:$B, "Installing")</f>
        <v>0</v>
      </c>
      <c r="H70" s="307">
        <f>COUNTIFS('Financed Projects'!$E:$E, 'Financed Projects_summary'!B70, 'Financed Projects'!$G:$G, 'Financed Projects_summary'!$H$59, 'Financed Projects'!$B:$B, "Registered") + COUNTIFS('Financed Projects'!$E:$E, 'Financed Projects_summary'!B70, 'Financed Projects'!$G:$G, 'Financed Projects_summary'!$H$59, 'Financed Projects'!$B:$B, "Implementation") +COUNTIFS('Financed Projects'!$E:$E, 'Financed Projects_summary'!B70, 'Financed Projects'!$G:$G, 'Financed Projects_summary'!$H$59, 'Financed Projects'!$B:$B, "Installing")</f>
        <v>0</v>
      </c>
      <c r="I70" s="307">
        <f t="shared" si="2"/>
        <v>5</v>
      </c>
      <c r="J70" s="152"/>
      <c r="K70" s="152"/>
      <c r="L70" s="152"/>
      <c r="M70" s="152"/>
      <c r="N70" s="152"/>
      <c r="O70" s="199"/>
    </row>
    <row r="71" spans="1:15" x14ac:dyDescent="0.2">
      <c r="A71" s="196"/>
      <c r="B71" s="307" t="s">
        <v>188</v>
      </c>
      <c r="C71" s="307">
        <f>COUNTIFS('Financed Projects'!$E:$E, 'Financed Projects_summary'!B71, 'Financed Projects'!$G:$G, 'Financed Projects_summary'!$C$59, 'Financed Projects'!$B:$B, "Registered") + COUNTIFS('Financed Projects'!$E:$E, 'Financed Projects_summary'!B71, 'Financed Projects'!$G:$G, 'Financed Projects_summary'!$C$59, 'Financed Projects'!$B:$B, "Implementation") +COUNTIFS('Financed Projects'!$E:$E, 'Financed Projects_summary'!B71, 'Financed Projects'!$G:$G, 'Financed Projects_summary'!$C$59, 'Financed Projects'!$B:$B, "Installing")</f>
        <v>1</v>
      </c>
      <c r="D71" s="307">
        <f>COUNTIFS('Financed Projects'!$E:$E, 'Financed Projects_summary'!B71, 'Financed Projects'!$G:$G, 'Financed Projects_summary'!$D$59, 'Financed Projects'!$B:$B, "Registered") + COUNTIFS('Financed Projects'!$E:$E, 'Financed Projects_summary'!B71, 'Financed Projects'!$G:$G, 'Financed Projects_summary'!$D$59, 'Financed Projects'!$B:$B, "Implementation") +COUNTIFS('Financed Projects'!$E:$E, 'Financed Projects_summary'!B71, 'Financed Projects'!$G:$G, 'Financed Projects_summary'!$D$59, 'Financed Projects'!$B:$B, "Installing")</f>
        <v>1</v>
      </c>
      <c r="E71" s="307">
        <f>COUNTIFS('Financed Projects'!$E:$E, 'Financed Projects_summary'!B71, 'Financed Projects'!$G:$G, 'Financed Projects_summary'!$E$59, 'Financed Projects'!$B:$B, "Registered") + COUNTIFS('Financed Projects'!$E:$E, 'Financed Projects_summary'!B71, 'Financed Projects'!$G:$G, 'Financed Projects_summary'!$E$59, 'Financed Projects'!$B:$B, "Implementation") +COUNTIFS('Financed Projects'!$E:$E, 'Financed Projects_summary'!B71, 'Financed Projects'!$G:$G, 'Financed Projects_summary'!$E$59, 'Financed Projects'!$B:$B, "Installing")</f>
        <v>0</v>
      </c>
      <c r="F71" s="307">
        <f>COUNTIFS('Financed Projects'!$E:$E, 'Financed Projects_summary'!B71, 'Financed Projects'!$G:$G, 'Financed Projects_summary'!$F$59, 'Financed Projects'!$B:$B, "Registered") + COUNTIFS('Financed Projects'!$E:$E, 'Financed Projects_summary'!B71, 'Financed Projects'!$G:$G, 'Financed Projects_summary'!$F$59, 'Financed Projects'!$B:$B, "Implementation") +COUNTIFS('Financed Projects'!$E:$E, 'Financed Projects_summary'!B71, 'Financed Projects'!$G:$G, 'Financed Projects_summary'!$F$59, 'Financed Projects'!$B:$B, "Installing")</f>
        <v>0</v>
      </c>
      <c r="G71" s="307">
        <f>COUNTIFS('Financed Projects'!$E:$E, 'Financed Projects_summary'!B71, 'Financed Projects'!$G:$G, 'Financed Projects_summary'!$G$59, 'Financed Projects'!$B:$B, "Registered") + COUNTIFS('Financed Projects'!$E:$E, 'Financed Projects_summary'!B71, 'Financed Projects'!$G:$G, 'Financed Projects_summary'!$G$59, 'Financed Projects'!$B:$B, "Implementation") +COUNTIFS('Financed Projects'!$E:$E, 'Financed Projects_summary'!B71, 'Financed Projects'!$G:$G, 'Financed Projects_summary'!$G$59, 'Financed Projects'!$B:$B, "Installing")</f>
        <v>0</v>
      </c>
      <c r="H71" s="307">
        <f>COUNTIFS('Financed Projects'!$E:$E, 'Financed Projects_summary'!B71, 'Financed Projects'!$G:$G, 'Financed Projects_summary'!$H$59, 'Financed Projects'!$B:$B, "Registered") + COUNTIFS('Financed Projects'!$E:$E, 'Financed Projects_summary'!B71, 'Financed Projects'!$G:$G, 'Financed Projects_summary'!$H$59, 'Financed Projects'!$B:$B, "Implementation") +COUNTIFS('Financed Projects'!$E:$E, 'Financed Projects_summary'!B71, 'Financed Projects'!$G:$G, 'Financed Projects_summary'!$H$59, 'Financed Projects'!$B:$B, "Installing")</f>
        <v>0</v>
      </c>
      <c r="I71" s="307">
        <f t="shared" si="2"/>
        <v>2</v>
      </c>
      <c r="J71" s="152"/>
      <c r="K71" s="152"/>
      <c r="L71" s="152"/>
      <c r="M71" s="152"/>
      <c r="N71" s="152"/>
      <c r="O71" s="199"/>
    </row>
    <row r="72" spans="1:15" x14ac:dyDescent="0.2">
      <c r="A72" s="196"/>
      <c r="B72" s="307" t="s">
        <v>430</v>
      </c>
      <c r="C72" s="307">
        <f>COUNTIFS('Financed Projects'!$E:$E, 'Financed Projects_summary'!B72, 'Financed Projects'!$G:$G, 'Financed Projects_summary'!$C$59, 'Financed Projects'!$B:$B, "Registered") + COUNTIFS('Financed Projects'!$E:$E, 'Financed Projects_summary'!B72, 'Financed Projects'!$G:$G, 'Financed Projects_summary'!$C$59, 'Financed Projects'!$B:$B, "Implementation") +COUNTIFS('Financed Projects'!$E:$E, 'Financed Projects_summary'!B72, 'Financed Projects'!$G:$G, 'Financed Projects_summary'!$C$59, 'Financed Projects'!$B:$B, "Installing")</f>
        <v>0</v>
      </c>
      <c r="D72" s="307">
        <f>COUNTIFS('Financed Projects'!$E:$E, 'Financed Projects_summary'!B72, 'Financed Projects'!$G:$G, 'Financed Projects_summary'!$D$59, 'Financed Projects'!$B:$B, "Registered") + COUNTIFS('Financed Projects'!$E:$E, 'Financed Projects_summary'!B72, 'Financed Projects'!$G:$G, 'Financed Projects_summary'!$D$59, 'Financed Projects'!$B:$B, "Implementation") +COUNTIFS('Financed Projects'!$E:$E, 'Financed Projects_summary'!B72, 'Financed Projects'!$G:$G, 'Financed Projects_summary'!$D$59, 'Financed Projects'!$B:$B, "Installing")</f>
        <v>3</v>
      </c>
      <c r="E72" s="307">
        <f>COUNTIFS('Financed Projects'!$E:$E, 'Financed Projects_summary'!B72, 'Financed Projects'!$G:$G, 'Financed Projects_summary'!$E$59, 'Financed Projects'!$B:$B, "Registered") + COUNTIFS('Financed Projects'!$E:$E, 'Financed Projects_summary'!B72, 'Financed Projects'!$G:$G, 'Financed Projects_summary'!$E$59, 'Financed Projects'!$B:$B, "Implementation") +COUNTIFS('Financed Projects'!$E:$E, 'Financed Projects_summary'!B72, 'Financed Projects'!$G:$G, 'Financed Projects_summary'!$E$59, 'Financed Projects'!$B:$B, "Installing")</f>
        <v>0</v>
      </c>
      <c r="F72" s="307">
        <f>COUNTIFS('Financed Projects'!$E:$E, 'Financed Projects_summary'!B72, 'Financed Projects'!$G:$G, 'Financed Projects_summary'!$F$59, 'Financed Projects'!$B:$B, "Registered") + COUNTIFS('Financed Projects'!$E:$E, 'Financed Projects_summary'!B72, 'Financed Projects'!$G:$G, 'Financed Projects_summary'!$F$59, 'Financed Projects'!$B:$B, "Implementation") +COUNTIFS('Financed Projects'!$E:$E, 'Financed Projects_summary'!B72, 'Financed Projects'!$G:$G, 'Financed Projects_summary'!$F$59, 'Financed Projects'!$B:$B, "Installing")</f>
        <v>0</v>
      </c>
      <c r="G72" s="307">
        <f>COUNTIFS('Financed Projects'!$E:$E, 'Financed Projects_summary'!B72, 'Financed Projects'!$G:$G, 'Financed Projects_summary'!$G$59, 'Financed Projects'!$B:$B, "Registered") + COUNTIFS('Financed Projects'!$E:$E, 'Financed Projects_summary'!B72, 'Financed Projects'!$G:$G, 'Financed Projects_summary'!$G$59, 'Financed Projects'!$B:$B, "Implementation") +COUNTIFS('Financed Projects'!$E:$E, 'Financed Projects_summary'!B72, 'Financed Projects'!$G:$G, 'Financed Projects_summary'!$G$59, 'Financed Projects'!$B:$B, "Installing")</f>
        <v>0</v>
      </c>
      <c r="H72" s="307">
        <f>COUNTIFS('Financed Projects'!$E:$E, 'Financed Projects_summary'!B72, 'Financed Projects'!$G:$G, 'Financed Projects_summary'!$H$59, 'Financed Projects'!$B:$B, "Registered") + COUNTIFS('Financed Projects'!$E:$E, 'Financed Projects_summary'!B72, 'Financed Projects'!$G:$G, 'Financed Projects_summary'!$H$59, 'Financed Projects'!$B:$B, "Implementation") +COUNTIFS('Financed Projects'!$E:$E, 'Financed Projects_summary'!B72, 'Financed Projects'!$G:$G, 'Financed Projects_summary'!$H$59, 'Financed Projects'!$B:$B, "Installing")</f>
        <v>0</v>
      </c>
      <c r="I72" s="307">
        <f t="shared" si="2"/>
        <v>3</v>
      </c>
      <c r="J72" s="152"/>
      <c r="K72" s="152"/>
      <c r="L72" s="152"/>
      <c r="M72" s="152"/>
      <c r="N72" s="152"/>
      <c r="O72" s="199"/>
    </row>
    <row r="73" spans="1:15" x14ac:dyDescent="0.2">
      <c r="A73" s="196"/>
      <c r="B73" s="307" t="s">
        <v>536</v>
      </c>
      <c r="C73" s="307">
        <f>COUNTIFS('Financed Projects'!$E:$E, 'Financed Projects_summary'!B73, 'Financed Projects'!$G:$G, 'Financed Projects_summary'!$C$59, 'Financed Projects'!$B:$B, "Registered") + COUNTIFS('Financed Projects'!$E:$E, 'Financed Projects_summary'!B73, 'Financed Projects'!$G:$G, 'Financed Projects_summary'!$C$59, 'Financed Projects'!$B:$B, "Implementation") +COUNTIFS('Financed Projects'!$E:$E, 'Financed Projects_summary'!B73, 'Financed Projects'!$G:$G, 'Financed Projects_summary'!$C$59, 'Financed Projects'!$B:$B, "Installing")</f>
        <v>0</v>
      </c>
      <c r="D73" s="307">
        <f>COUNTIFS('Financed Projects'!$E:$E, 'Financed Projects_summary'!B73, 'Financed Projects'!$G:$G, 'Financed Projects_summary'!$D$59, 'Financed Projects'!$B:$B, "Registered") + COUNTIFS('Financed Projects'!$E:$E, 'Financed Projects_summary'!B73, 'Financed Projects'!$G:$G, 'Financed Projects_summary'!$D$59, 'Financed Projects'!$B:$B, "Implementation") +COUNTIFS('Financed Projects'!$E:$E, 'Financed Projects_summary'!B73, 'Financed Projects'!$G:$G, 'Financed Projects_summary'!$D$59, 'Financed Projects'!$B:$B, "Installing")</f>
        <v>2</v>
      </c>
      <c r="E73" s="307">
        <f>COUNTIFS('Financed Projects'!$E:$E, 'Financed Projects_summary'!B73, 'Financed Projects'!$G:$G, 'Financed Projects_summary'!$E$59, 'Financed Projects'!$B:$B, "Registered") + COUNTIFS('Financed Projects'!$E:$E, 'Financed Projects_summary'!B73, 'Financed Projects'!$G:$G, 'Financed Projects_summary'!$E$59, 'Financed Projects'!$B:$B, "Implementation") +COUNTIFS('Financed Projects'!$E:$E, 'Financed Projects_summary'!B73, 'Financed Projects'!$G:$G, 'Financed Projects_summary'!$E$59, 'Financed Projects'!$B:$B, "Installing")</f>
        <v>0</v>
      </c>
      <c r="F73" s="307">
        <f>COUNTIFS('Financed Projects'!$E:$E, 'Financed Projects_summary'!B73, 'Financed Projects'!$G:$G, 'Financed Projects_summary'!$F$59, 'Financed Projects'!$B:$B, "Registered") + COUNTIFS('Financed Projects'!$E:$E, 'Financed Projects_summary'!B73, 'Financed Projects'!$G:$G, 'Financed Projects_summary'!$F$59, 'Financed Projects'!$B:$B, "Implementation") +COUNTIFS('Financed Projects'!$E:$E, 'Financed Projects_summary'!B73, 'Financed Projects'!$G:$G, 'Financed Projects_summary'!$F$59, 'Financed Projects'!$B:$B, "Installing")</f>
        <v>1</v>
      </c>
      <c r="G73" s="307">
        <f>COUNTIFS('Financed Projects'!$E:$E, 'Financed Projects_summary'!B73, 'Financed Projects'!$G:$G, 'Financed Projects_summary'!$G$59, 'Financed Projects'!$B:$B, "Registered") + COUNTIFS('Financed Projects'!$E:$E, 'Financed Projects_summary'!B73, 'Financed Projects'!$G:$G, 'Financed Projects_summary'!$G$59, 'Financed Projects'!$B:$B, "Implementation") +COUNTIFS('Financed Projects'!$E:$E, 'Financed Projects_summary'!B73, 'Financed Projects'!$G:$G, 'Financed Projects_summary'!$G$59, 'Financed Projects'!$B:$B, "Installing")</f>
        <v>0</v>
      </c>
      <c r="H73" s="307">
        <f>COUNTIFS('Financed Projects'!$E:$E, 'Financed Projects_summary'!B73, 'Financed Projects'!$G:$G, 'Financed Projects_summary'!$H$59, 'Financed Projects'!$B:$B, "Registered") + COUNTIFS('Financed Projects'!$E:$E, 'Financed Projects_summary'!B73, 'Financed Projects'!$G:$G, 'Financed Projects_summary'!$H$59, 'Financed Projects'!$B:$B, "Implementation") +COUNTIFS('Financed Projects'!$E:$E, 'Financed Projects_summary'!B73, 'Financed Projects'!$G:$G, 'Financed Projects_summary'!$H$59, 'Financed Projects'!$B:$B, "Installing")</f>
        <v>0</v>
      </c>
      <c r="I73" s="307">
        <f t="shared" si="2"/>
        <v>3</v>
      </c>
      <c r="J73" s="152"/>
      <c r="K73" s="152"/>
      <c r="L73" s="152"/>
      <c r="M73" s="152"/>
      <c r="N73" s="152"/>
      <c r="O73" s="199"/>
    </row>
    <row r="74" spans="1:15" x14ac:dyDescent="0.2">
      <c r="A74" s="196"/>
      <c r="B74" s="307" t="s">
        <v>183</v>
      </c>
      <c r="C74" s="307">
        <f>COUNTIFS('Financed Projects'!$E:$E, 'Financed Projects_summary'!B74, 'Financed Projects'!$G:$G, 'Financed Projects_summary'!$C$59, 'Financed Projects'!$B:$B, "Registered") + COUNTIFS('Financed Projects'!$E:$E, 'Financed Projects_summary'!B74, 'Financed Projects'!$G:$G, 'Financed Projects_summary'!$C$59, 'Financed Projects'!$B:$B, "Implementation") +COUNTIFS('Financed Projects'!$E:$E, 'Financed Projects_summary'!B74, 'Financed Projects'!$G:$G, 'Financed Projects_summary'!$C$59, 'Financed Projects'!$B:$B, "Installing")</f>
        <v>0</v>
      </c>
      <c r="D74" s="307">
        <f>COUNTIFS('Financed Projects'!$E:$E, 'Financed Projects_summary'!B74, 'Financed Projects'!$G:$G, 'Financed Projects_summary'!$D$59, 'Financed Projects'!$B:$B, "Registered") + COUNTIFS('Financed Projects'!$E:$E, 'Financed Projects_summary'!B74, 'Financed Projects'!$G:$G, 'Financed Projects_summary'!$D$59, 'Financed Projects'!$B:$B, "Implementation") +COUNTIFS('Financed Projects'!$E:$E, 'Financed Projects_summary'!B74, 'Financed Projects'!$G:$G, 'Financed Projects_summary'!$D$59, 'Financed Projects'!$B:$B, "Installing")</f>
        <v>3</v>
      </c>
      <c r="E74" s="307">
        <f>COUNTIFS('Financed Projects'!$E:$E, 'Financed Projects_summary'!B74, 'Financed Projects'!$G:$G, 'Financed Projects_summary'!$E$59, 'Financed Projects'!$B:$B, "Registered") + COUNTIFS('Financed Projects'!$E:$E, 'Financed Projects_summary'!B74, 'Financed Projects'!$G:$G, 'Financed Projects_summary'!$E$59, 'Financed Projects'!$B:$B, "Implementation") +COUNTIFS('Financed Projects'!$E:$E, 'Financed Projects_summary'!B74, 'Financed Projects'!$G:$G, 'Financed Projects_summary'!$E$59, 'Financed Projects'!$B:$B, "Installing")</f>
        <v>0</v>
      </c>
      <c r="F74" s="307">
        <f>COUNTIFS('Financed Projects'!$E:$E, 'Financed Projects_summary'!B74, 'Financed Projects'!$G:$G, 'Financed Projects_summary'!$F$59, 'Financed Projects'!$B:$B, "Registered") + COUNTIFS('Financed Projects'!$E:$E, 'Financed Projects_summary'!B74, 'Financed Projects'!$G:$G, 'Financed Projects_summary'!$F$59, 'Financed Projects'!$B:$B, "Implementation") +COUNTIFS('Financed Projects'!$E:$E, 'Financed Projects_summary'!B74, 'Financed Projects'!$G:$G, 'Financed Projects_summary'!$F$59, 'Financed Projects'!$B:$B, "Installing")</f>
        <v>1</v>
      </c>
      <c r="G74" s="307">
        <f>COUNTIFS('Financed Projects'!$E:$E, 'Financed Projects_summary'!B74, 'Financed Projects'!$G:$G, 'Financed Projects_summary'!$G$59, 'Financed Projects'!$B:$B, "Registered") + COUNTIFS('Financed Projects'!$E:$E, 'Financed Projects_summary'!B74, 'Financed Projects'!$G:$G, 'Financed Projects_summary'!$G$59, 'Financed Projects'!$B:$B, "Implementation") +COUNTIFS('Financed Projects'!$E:$E, 'Financed Projects_summary'!B74, 'Financed Projects'!$G:$G, 'Financed Projects_summary'!$G$59, 'Financed Projects'!$B:$B, "Installing")</f>
        <v>0</v>
      </c>
      <c r="H74" s="307">
        <f>COUNTIFS('Financed Projects'!$E:$E, 'Financed Projects_summary'!B74, 'Financed Projects'!$G:$G, 'Financed Projects_summary'!$H$59, 'Financed Projects'!$B:$B, "Registered") + COUNTIFS('Financed Projects'!$E:$E, 'Financed Projects_summary'!B74, 'Financed Projects'!$G:$G, 'Financed Projects_summary'!$H$59, 'Financed Projects'!$B:$B, "Implementation") +COUNTIFS('Financed Projects'!$E:$E, 'Financed Projects_summary'!B74, 'Financed Projects'!$G:$G, 'Financed Projects_summary'!$H$59, 'Financed Projects'!$B:$B, "Installing")</f>
        <v>0</v>
      </c>
      <c r="I74" s="307">
        <f t="shared" si="2"/>
        <v>4</v>
      </c>
      <c r="J74" s="152"/>
      <c r="K74" s="152"/>
      <c r="L74" s="152"/>
      <c r="M74" s="152"/>
      <c r="N74" s="152"/>
      <c r="O74" s="199"/>
    </row>
    <row r="75" spans="1:15" x14ac:dyDescent="0.2">
      <c r="A75" s="196"/>
      <c r="B75" s="307" t="s">
        <v>553</v>
      </c>
      <c r="C75" s="307">
        <f>COUNTIFS('Financed Projects'!$E:$E, 'Financed Projects_summary'!B75, 'Financed Projects'!$G:$G, 'Financed Projects_summary'!$C$59, 'Financed Projects'!$B:$B, "Registered") + COUNTIFS('Financed Projects'!$E:$E, 'Financed Projects_summary'!B75, 'Financed Projects'!$G:$G, 'Financed Projects_summary'!$C$59, 'Financed Projects'!$B:$B, "Implementation") +COUNTIFS('Financed Projects'!$E:$E, 'Financed Projects_summary'!B75, 'Financed Projects'!$G:$G, 'Financed Projects_summary'!$C$59, 'Financed Projects'!$B:$B, "Installing")</f>
        <v>1</v>
      </c>
      <c r="D75" s="307">
        <f>COUNTIFS('Financed Projects'!$E:$E, 'Financed Projects_summary'!B75, 'Financed Projects'!$G:$G, 'Financed Projects_summary'!$D$59, 'Financed Projects'!$B:$B, "Registered") + COUNTIFS('Financed Projects'!$E:$E, 'Financed Projects_summary'!B75, 'Financed Projects'!$G:$G, 'Financed Projects_summary'!$D$59, 'Financed Projects'!$B:$B, "Implementation") +COUNTIFS('Financed Projects'!$E:$E, 'Financed Projects_summary'!B75, 'Financed Projects'!$G:$G, 'Financed Projects_summary'!$D$59, 'Financed Projects'!$B:$B, "Installing")</f>
        <v>1</v>
      </c>
      <c r="E75" s="307">
        <f>COUNTIFS('Financed Projects'!$E:$E, 'Financed Projects_summary'!B75, 'Financed Projects'!$G:$G, 'Financed Projects_summary'!$E$59, 'Financed Projects'!$B:$B, "Registered") + COUNTIFS('Financed Projects'!$E:$E, 'Financed Projects_summary'!B75, 'Financed Projects'!$G:$G, 'Financed Projects_summary'!$E$59, 'Financed Projects'!$B:$B, "Implementation") +COUNTIFS('Financed Projects'!$E:$E, 'Financed Projects_summary'!B75, 'Financed Projects'!$G:$G, 'Financed Projects_summary'!$E$59, 'Financed Projects'!$B:$B, "Installing")</f>
        <v>0</v>
      </c>
      <c r="F75" s="307">
        <f>COUNTIFS('Financed Projects'!$E:$E, 'Financed Projects_summary'!B75, 'Financed Projects'!$G:$G, 'Financed Projects_summary'!$F$59, 'Financed Projects'!$B:$B, "Registered") + COUNTIFS('Financed Projects'!$E:$E, 'Financed Projects_summary'!B75, 'Financed Projects'!$G:$G, 'Financed Projects_summary'!$F$59, 'Financed Projects'!$B:$B, "Implementation") +COUNTIFS('Financed Projects'!$E:$E, 'Financed Projects_summary'!B75, 'Financed Projects'!$G:$G, 'Financed Projects_summary'!$F$59, 'Financed Projects'!$B:$B, "Installing")</f>
        <v>0</v>
      </c>
      <c r="G75" s="307">
        <f>COUNTIFS('Financed Projects'!$E:$E, 'Financed Projects_summary'!B75, 'Financed Projects'!$G:$G, 'Financed Projects_summary'!$G$59, 'Financed Projects'!$B:$B, "Registered") + COUNTIFS('Financed Projects'!$E:$E, 'Financed Projects_summary'!B75, 'Financed Projects'!$G:$G, 'Financed Projects_summary'!$G$59, 'Financed Projects'!$B:$B, "Implementation") +COUNTIFS('Financed Projects'!$E:$E, 'Financed Projects_summary'!B75, 'Financed Projects'!$G:$G, 'Financed Projects_summary'!$G$59, 'Financed Projects'!$B:$B, "Installing")</f>
        <v>0</v>
      </c>
      <c r="H75" s="307">
        <f>COUNTIFS('Financed Projects'!$E:$E, 'Financed Projects_summary'!B75, 'Financed Projects'!$G:$G, 'Financed Projects_summary'!$H$59, 'Financed Projects'!$B:$B, "Registered") + COUNTIFS('Financed Projects'!$E:$E, 'Financed Projects_summary'!B75, 'Financed Projects'!$G:$G, 'Financed Projects_summary'!$H$59, 'Financed Projects'!$B:$B, "Implementation") +COUNTIFS('Financed Projects'!$E:$E, 'Financed Projects_summary'!B75, 'Financed Projects'!$G:$G, 'Financed Projects_summary'!$H$59, 'Financed Projects'!$B:$B, "Installing")</f>
        <v>0</v>
      </c>
      <c r="I75" s="307">
        <f t="shared" si="2"/>
        <v>2</v>
      </c>
      <c r="J75" s="152"/>
      <c r="K75" s="152"/>
      <c r="L75" s="152"/>
      <c r="M75" s="152"/>
      <c r="N75" s="152"/>
      <c r="O75" s="199"/>
    </row>
    <row r="76" spans="1:15" x14ac:dyDescent="0.2">
      <c r="A76" s="196"/>
      <c r="B76" s="307" t="s">
        <v>207</v>
      </c>
      <c r="C76" s="307">
        <f>COUNTIFS('Financed Projects'!$E:$E, 'Financed Projects_summary'!B76, 'Financed Projects'!$G:$G, 'Financed Projects_summary'!$C$59, 'Financed Projects'!$B:$B, "Registered") + COUNTIFS('Financed Projects'!$E:$E, 'Financed Projects_summary'!B76, 'Financed Projects'!$G:$G, 'Financed Projects_summary'!$C$59, 'Financed Projects'!$B:$B, "Implementation") +COUNTIFS('Financed Projects'!$E:$E, 'Financed Projects_summary'!B76, 'Financed Projects'!$G:$G, 'Financed Projects_summary'!$C$59, 'Financed Projects'!$B:$B, "Installing")</f>
        <v>0</v>
      </c>
      <c r="D76" s="307">
        <f>COUNTIFS('Financed Projects'!$E:$E, 'Financed Projects_summary'!B76, 'Financed Projects'!$G:$G, 'Financed Projects_summary'!$D$59, 'Financed Projects'!$B:$B, "Registered") + COUNTIFS('Financed Projects'!$E:$E, 'Financed Projects_summary'!B76, 'Financed Projects'!$G:$G, 'Financed Projects_summary'!$D$59, 'Financed Projects'!$B:$B, "Implementation") +COUNTIFS('Financed Projects'!$E:$E, 'Financed Projects_summary'!B76, 'Financed Projects'!$G:$G, 'Financed Projects_summary'!$D$59, 'Financed Projects'!$B:$B, "Installing")</f>
        <v>1</v>
      </c>
      <c r="E76" s="307">
        <f>COUNTIFS('Financed Projects'!$E:$E, 'Financed Projects_summary'!B76, 'Financed Projects'!$G:$G, 'Financed Projects_summary'!$E$59, 'Financed Projects'!$B:$B, "Registered") + COUNTIFS('Financed Projects'!$E:$E, 'Financed Projects_summary'!B76, 'Financed Projects'!$G:$G, 'Financed Projects_summary'!$E$59, 'Financed Projects'!$B:$B, "Implementation") +COUNTIFS('Financed Projects'!$E:$E, 'Financed Projects_summary'!B76, 'Financed Projects'!$G:$G, 'Financed Projects_summary'!$E$59, 'Financed Projects'!$B:$B, "Installing")</f>
        <v>0</v>
      </c>
      <c r="F76" s="307">
        <f>COUNTIFS('Financed Projects'!$E:$E, 'Financed Projects_summary'!B76, 'Financed Projects'!$G:$G, 'Financed Projects_summary'!$F$59, 'Financed Projects'!$B:$B, "Registered") + COUNTIFS('Financed Projects'!$E:$E, 'Financed Projects_summary'!B76, 'Financed Projects'!$G:$G, 'Financed Projects_summary'!$F$59, 'Financed Projects'!$B:$B, "Implementation") +COUNTIFS('Financed Projects'!$E:$E, 'Financed Projects_summary'!B76, 'Financed Projects'!$G:$G, 'Financed Projects_summary'!$F$59, 'Financed Projects'!$B:$B, "Installing")</f>
        <v>0</v>
      </c>
      <c r="G76" s="307">
        <f>COUNTIFS('Financed Projects'!$E:$E, 'Financed Projects_summary'!B76, 'Financed Projects'!$G:$G, 'Financed Projects_summary'!$G$59, 'Financed Projects'!$B:$B, "Registered") + COUNTIFS('Financed Projects'!$E:$E, 'Financed Projects_summary'!B76, 'Financed Projects'!$G:$G, 'Financed Projects_summary'!$G$59, 'Financed Projects'!$B:$B, "Implementation") +COUNTIFS('Financed Projects'!$E:$E, 'Financed Projects_summary'!B76, 'Financed Projects'!$G:$G, 'Financed Projects_summary'!$G$59, 'Financed Projects'!$B:$B, "Installing")</f>
        <v>0</v>
      </c>
      <c r="H76" s="307">
        <f>COUNTIFS('Financed Projects'!$E:$E, 'Financed Projects_summary'!B76, 'Financed Projects'!$G:$G, 'Financed Projects_summary'!$H$59, 'Financed Projects'!$B:$B, "Registered") + COUNTIFS('Financed Projects'!$E:$E, 'Financed Projects_summary'!B76, 'Financed Projects'!$G:$G, 'Financed Projects_summary'!$H$59, 'Financed Projects'!$B:$B, "Implementation") +COUNTIFS('Financed Projects'!$E:$E, 'Financed Projects_summary'!B76, 'Financed Projects'!$G:$G, 'Financed Projects_summary'!$H$59, 'Financed Projects'!$B:$B, "Installing")</f>
        <v>0</v>
      </c>
      <c r="I76" s="307">
        <f t="shared" si="2"/>
        <v>1</v>
      </c>
      <c r="J76" s="152"/>
      <c r="K76" s="152"/>
      <c r="L76" s="152"/>
      <c r="M76" s="152"/>
      <c r="N76" s="152"/>
      <c r="O76" s="199"/>
    </row>
    <row r="77" spans="1:15" x14ac:dyDescent="0.2">
      <c r="A77" s="196"/>
      <c r="B77" s="393" t="s">
        <v>824</v>
      </c>
      <c r="C77" s="393">
        <f>SUM(C60:C76)</f>
        <v>84</v>
      </c>
      <c r="D77" s="393">
        <f>SUM(D60:D76)</f>
        <v>68</v>
      </c>
      <c r="E77" s="393">
        <f>SUM(E60:E76)</f>
        <v>3</v>
      </c>
      <c r="F77" s="393">
        <f t="shared" ref="F77:G77" si="3">SUM(F60:F76)</f>
        <v>19</v>
      </c>
      <c r="G77" s="393">
        <f t="shared" si="3"/>
        <v>2</v>
      </c>
      <c r="H77" s="393">
        <f>SUM(H60:H76)</f>
        <v>2</v>
      </c>
      <c r="I77" s="393">
        <f>SUM(I60:I76)</f>
        <v>178</v>
      </c>
      <c r="J77" s="152"/>
      <c r="K77" s="152"/>
      <c r="L77" s="152"/>
      <c r="M77" s="152"/>
      <c r="N77" s="152"/>
      <c r="O77" s="199"/>
    </row>
    <row r="78" spans="1:15" x14ac:dyDescent="0.2">
      <c r="A78" s="196"/>
      <c r="B78" s="152"/>
      <c r="C78" s="152"/>
      <c r="D78" s="152"/>
      <c r="E78" s="152"/>
      <c r="F78" s="152"/>
      <c r="G78" s="152"/>
      <c r="H78" s="152"/>
      <c r="I78" s="152"/>
      <c r="J78" s="152"/>
      <c r="K78" s="152"/>
      <c r="L78" s="152"/>
      <c r="M78" s="152"/>
      <c r="N78" s="152"/>
      <c r="O78" s="199"/>
    </row>
    <row r="79" spans="1:15" x14ac:dyDescent="0.2">
      <c r="A79" s="196"/>
      <c r="B79" s="152"/>
      <c r="C79" s="152"/>
      <c r="D79" s="152"/>
      <c r="E79" s="152"/>
      <c r="F79" s="152"/>
      <c r="G79" s="152"/>
      <c r="H79" s="152"/>
      <c r="I79" s="152"/>
      <c r="J79" s="152"/>
      <c r="K79" s="152"/>
      <c r="L79" s="152"/>
      <c r="M79" s="152"/>
      <c r="N79" s="152"/>
      <c r="O79" s="199"/>
    </row>
    <row r="80" spans="1:15" ht="20.25" x14ac:dyDescent="0.3">
      <c r="A80" s="196"/>
      <c r="B80" s="388" t="s">
        <v>1772</v>
      </c>
      <c r="C80" s="395"/>
      <c r="D80" s="395"/>
      <c r="E80" s="395"/>
      <c r="F80" s="395"/>
      <c r="G80" s="395"/>
      <c r="H80" s="395"/>
      <c r="I80" s="396"/>
      <c r="J80" s="152"/>
      <c r="K80" s="152"/>
      <c r="L80" s="152"/>
      <c r="M80" s="152"/>
      <c r="N80" s="152"/>
      <c r="O80" s="199"/>
    </row>
    <row r="81" spans="1:15" x14ac:dyDescent="0.2">
      <c r="A81" s="196"/>
      <c r="B81" s="152"/>
      <c r="C81" s="152"/>
      <c r="D81" s="152"/>
      <c r="E81" s="152"/>
      <c r="F81" s="152"/>
      <c r="G81" s="152"/>
      <c r="H81" s="152"/>
      <c r="I81" s="152"/>
      <c r="J81" s="152"/>
      <c r="K81" s="152"/>
      <c r="L81" s="152"/>
      <c r="M81" s="152"/>
      <c r="N81" s="152"/>
      <c r="O81" s="199"/>
    </row>
    <row r="82" spans="1:15" x14ac:dyDescent="0.2">
      <c r="A82" s="196"/>
      <c r="B82" s="152"/>
      <c r="C82" s="152"/>
      <c r="D82" s="152"/>
      <c r="E82" s="152"/>
      <c r="F82" s="152"/>
      <c r="G82" s="152"/>
      <c r="H82" s="152"/>
      <c r="I82" s="152"/>
      <c r="J82" s="152"/>
      <c r="K82" s="152"/>
      <c r="L82" s="152"/>
      <c r="M82" s="152"/>
      <c r="N82" s="152"/>
      <c r="O82" s="199"/>
    </row>
    <row r="83" spans="1:15" x14ac:dyDescent="0.2">
      <c r="A83" s="196"/>
      <c r="B83" s="152"/>
      <c r="C83" s="152"/>
      <c r="D83" s="152"/>
      <c r="E83" s="152"/>
      <c r="F83" s="152"/>
      <c r="G83" s="152"/>
      <c r="H83" s="152"/>
      <c r="I83" s="152"/>
      <c r="J83" s="152"/>
      <c r="K83" s="152"/>
      <c r="L83" s="152"/>
      <c r="M83" s="152"/>
      <c r="N83" s="152"/>
      <c r="O83" s="199"/>
    </row>
    <row r="84" spans="1:15" x14ac:dyDescent="0.2">
      <c r="A84" s="196"/>
      <c r="B84" s="152"/>
      <c r="C84" s="152"/>
      <c r="D84" s="152"/>
      <c r="E84" s="152"/>
      <c r="F84" s="152"/>
      <c r="G84" s="152"/>
      <c r="H84" s="152"/>
      <c r="I84" s="152"/>
      <c r="J84" s="152"/>
      <c r="K84" s="152"/>
      <c r="L84" s="152"/>
      <c r="M84" s="152"/>
      <c r="N84" s="152"/>
      <c r="O84" s="199"/>
    </row>
    <row r="85" spans="1:15" x14ac:dyDescent="0.2">
      <c r="A85" s="196"/>
      <c r="B85" s="152"/>
      <c r="C85" s="152"/>
      <c r="D85" s="152"/>
      <c r="E85" s="152"/>
      <c r="F85" s="152"/>
      <c r="G85" s="152"/>
      <c r="H85" s="152"/>
      <c r="I85" s="152"/>
      <c r="J85" s="152"/>
      <c r="K85" s="152"/>
      <c r="L85" s="152"/>
      <c r="M85" s="152"/>
      <c r="N85" s="152"/>
      <c r="O85" s="199"/>
    </row>
    <row r="86" spans="1:15" x14ac:dyDescent="0.2">
      <c r="A86" s="196"/>
      <c r="B86" s="152"/>
      <c r="C86" s="152"/>
      <c r="D86" s="152"/>
      <c r="E86" s="152"/>
      <c r="F86" s="152"/>
      <c r="G86" s="152"/>
      <c r="H86" s="152"/>
      <c r="I86" s="152"/>
      <c r="J86" s="152"/>
      <c r="K86" s="152"/>
      <c r="L86" s="152"/>
      <c r="M86" s="152"/>
      <c r="N86" s="152"/>
      <c r="O86" s="199"/>
    </row>
    <row r="87" spans="1:15" x14ac:dyDescent="0.2">
      <c r="A87" s="196"/>
      <c r="B87" s="152"/>
      <c r="C87" s="152"/>
      <c r="D87" s="152"/>
      <c r="E87" s="152"/>
      <c r="F87" s="152"/>
      <c r="G87" s="152"/>
      <c r="H87" s="152"/>
      <c r="I87" s="152"/>
      <c r="J87" s="152"/>
      <c r="K87" s="152"/>
      <c r="L87" s="152"/>
      <c r="M87" s="152"/>
      <c r="N87" s="152"/>
      <c r="O87" s="199"/>
    </row>
    <row r="88" spans="1:15" x14ac:dyDescent="0.2">
      <c r="A88" s="196"/>
      <c r="B88" s="152"/>
      <c r="C88" s="152"/>
      <c r="D88" s="152"/>
      <c r="E88" s="152"/>
      <c r="F88" s="152"/>
      <c r="G88" s="152"/>
      <c r="H88" s="152"/>
      <c r="I88" s="152"/>
      <c r="J88" s="152"/>
      <c r="K88" s="152"/>
      <c r="L88" s="152"/>
      <c r="M88" s="152"/>
      <c r="N88" s="152"/>
      <c r="O88" s="199"/>
    </row>
    <row r="89" spans="1:15" x14ac:dyDescent="0.2">
      <c r="A89" s="196"/>
      <c r="B89" s="152"/>
      <c r="C89" s="152"/>
      <c r="D89" s="152"/>
      <c r="E89" s="152"/>
      <c r="F89" s="152"/>
      <c r="G89" s="152"/>
      <c r="H89" s="152"/>
      <c r="I89" s="152"/>
      <c r="J89" s="152"/>
      <c r="K89" s="152"/>
      <c r="L89" s="152"/>
      <c r="M89" s="152"/>
      <c r="N89" s="152"/>
      <c r="O89" s="199"/>
    </row>
    <row r="90" spans="1:15" x14ac:dyDescent="0.2">
      <c r="A90" s="196"/>
      <c r="B90" s="152"/>
      <c r="C90" s="152"/>
      <c r="D90" s="152"/>
      <c r="E90" s="152"/>
      <c r="F90" s="152"/>
      <c r="G90" s="152"/>
      <c r="H90" s="152"/>
      <c r="I90" s="152"/>
      <c r="J90" s="152"/>
      <c r="K90" s="152"/>
      <c r="L90" s="152"/>
      <c r="M90" s="152"/>
      <c r="N90" s="152"/>
      <c r="O90" s="199"/>
    </row>
    <row r="91" spans="1:15" x14ac:dyDescent="0.2">
      <c r="A91" s="196"/>
      <c r="B91" s="152"/>
      <c r="C91" s="152"/>
      <c r="D91" s="152"/>
      <c r="E91" s="152"/>
      <c r="F91" s="152"/>
      <c r="G91" s="152"/>
      <c r="H91" s="152"/>
      <c r="I91" s="152"/>
      <c r="J91" s="152"/>
      <c r="K91" s="152"/>
      <c r="L91" s="152"/>
      <c r="M91" s="152"/>
      <c r="N91" s="152"/>
      <c r="O91" s="199"/>
    </row>
    <row r="92" spans="1:15" x14ac:dyDescent="0.2">
      <c r="A92" s="196"/>
      <c r="B92" s="152"/>
      <c r="C92" s="152"/>
      <c r="D92" s="152"/>
      <c r="E92" s="152"/>
      <c r="F92" s="152"/>
      <c r="G92" s="152"/>
      <c r="H92" s="152"/>
      <c r="I92" s="152"/>
      <c r="J92" s="152"/>
      <c r="K92" s="152"/>
      <c r="L92" s="152"/>
      <c r="M92" s="152"/>
      <c r="N92" s="152"/>
      <c r="O92" s="199"/>
    </row>
    <row r="93" spans="1:15" x14ac:dyDescent="0.2">
      <c r="A93" s="196"/>
      <c r="B93" s="152"/>
      <c r="C93" s="152"/>
      <c r="D93" s="152"/>
      <c r="E93" s="152"/>
      <c r="F93" s="152"/>
      <c r="G93" s="152"/>
      <c r="H93" s="152"/>
      <c r="I93" s="152"/>
      <c r="J93" s="152"/>
      <c r="K93" s="152"/>
      <c r="L93" s="152"/>
      <c r="M93" s="152"/>
      <c r="N93" s="152"/>
      <c r="O93" s="199"/>
    </row>
    <row r="94" spans="1:15" x14ac:dyDescent="0.2">
      <c r="A94" s="196"/>
      <c r="B94" s="152"/>
      <c r="C94" s="152"/>
      <c r="D94" s="152"/>
      <c r="E94" s="152"/>
      <c r="F94" s="152"/>
      <c r="G94" s="152"/>
      <c r="H94" s="152"/>
      <c r="I94" s="152"/>
      <c r="J94" s="152"/>
      <c r="K94" s="152"/>
      <c r="L94" s="152"/>
      <c r="M94" s="152"/>
      <c r="N94" s="152"/>
      <c r="O94" s="199"/>
    </row>
    <row r="95" spans="1:15" x14ac:dyDescent="0.2">
      <c r="A95" s="196"/>
      <c r="B95" s="152"/>
      <c r="C95" s="152"/>
      <c r="D95" s="152"/>
      <c r="E95" s="152"/>
      <c r="F95" s="152"/>
      <c r="G95" s="152"/>
      <c r="H95" s="152"/>
      <c r="I95" s="152"/>
      <c r="J95" s="152"/>
      <c r="K95" s="152"/>
      <c r="L95" s="152"/>
      <c r="M95" s="152"/>
      <c r="N95" s="152"/>
      <c r="O95" s="199"/>
    </row>
    <row r="96" spans="1:15" x14ac:dyDescent="0.2">
      <c r="A96" s="196"/>
      <c r="B96" s="152"/>
      <c r="C96" s="152"/>
      <c r="D96" s="152"/>
      <c r="E96" s="152"/>
      <c r="F96" s="152"/>
      <c r="G96" s="152"/>
      <c r="H96" s="152"/>
      <c r="I96" s="152"/>
      <c r="J96" s="152"/>
      <c r="K96" s="152"/>
      <c r="L96" s="152"/>
      <c r="M96" s="152"/>
      <c r="N96" s="152"/>
      <c r="O96" s="199"/>
    </row>
    <row r="97" spans="1:15" x14ac:dyDescent="0.2">
      <c r="A97" s="196"/>
      <c r="B97" s="152"/>
      <c r="C97" s="152"/>
      <c r="D97" s="152"/>
      <c r="E97" s="152"/>
      <c r="F97" s="152"/>
      <c r="G97" s="152"/>
      <c r="H97" s="152"/>
      <c r="I97" s="152"/>
      <c r="J97" s="152"/>
      <c r="K97" s="152"/>
      <c r="L97" s="152"/>
      <c r="M97" s="152"/>
      <c r="N97" s="152"/>
      <c r="O97" s="199"/>
    </row>
    <row r="98" spans="1:15" x14ac:dyDescent="0.2">
      <c r="A98" s="196"/>
      <c r="B98" s="152"/>
      <c r="C98" s="152"/>
      <c r="D98" s="152"/>
      <c r="E98" s="152"/>
      <c r="F98" s="152"/>
      <c r="G98" s="152"/>
      <c r="H98" s="152"/>
      <c r="I98" s="152"/>
      <c r="J98" s="152"/>
      <c r="K98" s="152"/>
      <c r="L98" s="152"/>
      <c r="M98" s="152"/>
      <c r="N98" s="152"/>
      <c r="O98" s="199"/>
    </row>
    <row r="99" spans="1:15" x14ac:dyDescent="0.2">
      <c r="A99" s="196"/>
      <c r="B99" s="152"/>
      <c r="C99" s="152"/>
      <c r="D99" s="152"/>
      <c r="E99" s="152"/>
      <c r="F99" s="152"/>
      <c r="G99" s="152"/>
      <c r="H99" s="152"/>
      <c r="I99" s="152"/>
      <c r="J99" s="152"/>
      <c r="K99" s="152"/>
      <c r="L99" s="152"/>
      <c r="M99" s="152"/>
      <c r="N99" s="152"/>
      <c r="O99" s="199"/>
    </row>
    <row r="100" spans="1:15" x14ac:dyDescent="0.2">
      <c r="A100" s="196"/>
      <c r="B100" s="152"/>
      <c r="C100" s="152"/>
      <c r="D100" s="152"/>
      <c r="E100" s="152"/>
      <c r="F100" s="152"/>
      <c r="G100" s="152"/>
      <c r="H100" s="152"/>
      <c r="I100" s="152"/>
      <c r="J100" s="152"/>
      <c r="K100" s="152"/>
      <c r="L100" s="152"/>
      <c r="M100" s="152"/>
      <c r="N100" s="152"/>
      <c r="O100" s="199"/>
    </row>
    <row r="101" spans="1:15" x14ac:dyDescent="0.2">
      <c r="A101" s="196"/>
      <c r="B101" s="152"/>
      <c r="C101" s="152"/>
      <c r="D101" s="152"/>
      <c r="E101" s="152"/>
      <c r="F101" s="152"/>
      <c r="G101" s="152"/>
      <c r="H101" s="152"/>
      <c r="I101" s="152"/>
      <c r="J101" s="152"/>
      <c r="K101" s="152"/>
      <c r="L101" s="152"/>
      <c r="M101" s="152"/>
      <c r="N101" s="152"/>
      <c r="O101" s="199"/>
    </row>
    <row r="102" spans="1:15" x14ac:dyDescent="0.2">
      <c r="A102" s="196"/>
      <c r="B102" s="152"/>
      <c r="C102" s="152"/>
      <c r="D102" s="152"/>
      <c r="E102" s="152"/>
      <c r="F102" s="152"/>
      <c r="G102" s="152"/>
      <c r="H102" s="152"/>
      <c r="I102" s="152"/>
      <c r="J102" s="152"/>
      <c r="K102" s="152"/>
      <c r="L102" s="152"/>
      <c r="M102" s="152"/>
      <c r="N102" s="152"/>
      <c r="O102" s="199"/>
    </row>
    <row r="103" spans="1:15" x14ac:dyDescent="0.2">
      <c r="A103" s="196"/>
      <c r="B103" s="152"/>
      <c r="C103" s="152"/>
      <c r="D103" s="152"/>
      <c r="E103" s="152"/>
      <c r="F103" s="152"/>
      <c r="G103" s="152"/>
      <c r="H103" s="152"/>
      <c r="I103" s="152"/>
      <c r="J103" s="152"/>
      <c r="K103" s="152"/>
      <c r="L103" s="152"/>
      <c r="M103" s="152"/>
      <c r="N103" s="152"/>
      <c r="O103" s="199"/>
    </row>
    <row r="104" spans="1:15" x14ac:dyDescent="0.2">
      <c r="A104" s="196"/>
      <c r="B104" s="152"/>
      <c r="C104" s="152"/>
      <c r="D104" s="152"/>
      <c r="E104" s="152"/>
      <c r="F104" s="152"/>
      <c r="G104" s="152"/>
      <c r="H104" s="152"/>
      <c r="I104" s="152"/>
      <c r="J104" s="152"/>
      <c r="K104" s="152"/>
      <c r="L104" s="152"/>
      <c r="M104" s="152"/>
      <c r="N104" s="152"/>
      <c r="O104" s="199"/>
    </row>
    <row r="105" spans="1:15" x14ac:dyDescent="0.2">
      <c r="A105" s="196"/>
      <c r="B105" s="152"/>
      <c r="C105" s="152"/>
      <c r="D105" s="152"/>
      <c r="E105" s="152"/>
      <c r="F105" s="152"/>
      <c r="G105" s="152"/>
      <c r="H105" s="152"/>
      <c r="I105" s="152"/>
      <c r="J105" s="152"/>
      <c r="K105" s="152"/>
      <c r="L105" s="152"/>
      <c r="M105" s="152"/>
      <c r="N105" s="152"/>
      <c r="O105" s="199"/>
    </row>
    <row r="106" spans="1:15" x14ac:dyDescent="0.2">
      <c r="A106" s="196"/>
      <c r="B106" s="152"/>
      <c r="C106" s="152"/>
      <c r="D106" s="152"/>
      <c r="E106" s="152"/>
      <c r="F106" s="152"/>
      <c r="G106" s="152"/>
      <c r="H106" s="152"/>
      <c r="I106" s="152"/>
      <c r="J106" s="152"/>
      <c r="K106" s="152"/>
      <c r="L106" s="152"/>
      <c r="M106" s="152"/>
      <c r="N106" s="152"/>
      <c r="O106" s="199"/>
    </row>
    <row r="107" spans="1:15" x14ac:dyDescent="0.2">
      <c r="A107" s="196"/>
      <c r="B107" s="152"/>
      <c r="C107" s="152"/>
      <c r="D107" s="152"/>
      <c r="E107" s="152"/>
      <c r="F107" s="152"/>
      <c r="G107" s="152"/>
      <c r="H107" s="152"/>
      <c r="I107" s="152"/>
      <c r="J107" s="152"/>
      <c r="K107" s="152"/>
      <c r="L107" s="152"/>
      <c r="M107" s="152"/>
      <c r="N107" s="152"/>
      <c r="O107" s="199"/>
    </row>
    <row r="108" spans="1:15" x14ac:dyDescent="0.2">
      <c r="A108" s="196"/>
      <c r="B108" s="152"/>
      <c r="C108" s="152"/>
      <c r="D108" s="152"/>
      <c r="E108" s="152"/>
      <c r="F108" s="152"/>
      <c r="G108" s="152"/>
      <c r="H108" s="152"/>
      <c r="I108" s="152"/>
      <c r="J108" s="152"/>
      <c r="K108" s="152"/>
      <c r="L108" s="152"/>
      <c r="M108" s="152"/>
      <c r="N108" s="152"/>
      <c r="O108" s="199"/>
    </row>
    <row r="109" spans="1:15" x14ac:dyDescent="0.2">
      <c r="A109" s="196"/>
      <c r="B109" s="152"/>
      <c r="C109" s="152"/>
      <c r="D109" s="152"/>
      <c r="E109" s="152"/>
      <c r="F109" s="152"/>
      <c r="G109" s="152"/>
      <c r="H109" s="152"/>
      <c r="I109" s="152"/>
      <c r="J109" s="152"/>
      <c r="K109" s="152"/>
      <c r="L109" s="152"/>
      <c r="M109" s="152"/>
      <c r="N109" s="152"/>
      <c r="O109" s="199"/>
    </row>
    <row r="110" spans="1:15" x14ac:dyDescent="0.2">
      <c r="A110" s="343"/>
      <c r="B110" s="203"/>
      <c r="C110" s="203"/>
      <c r="D110" s="203"/>
      <c r="E110" s="203"/>
      <c r="F110" s="203"/>
      <c r="G110" s="203"/>
      <c r="H110" s="203"/>
      <c r="I110" s="203"/>
      <c r="J110" s="203"/>
      <c r="K110" s="203"/>
      <c r="L110" s="203"/>
      <c r="M110" s="203"/>
      <c r="N110" s="203"/>
      <c r="O110" s="206"/>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Guidance</vt:lpstr>
      <vt:lpstr>Methodologies</vt:lpstr>
      <vt:lpstr>Methodologies_summary</vt:lpstr>
      <vt:lpstr>Project Data</vt:lpstr>
      <vt:lpstr>Project Data_summary</vt:lpstr>
      <vt:lpstr>Additional Information</vt:lpstr>
      <vt:lpstr>Financed Projects</vt:lpstr>
      <vt:lpstr>Financed Projects_summary</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tsukui</dc:creator>
  <cp:lastModifiedBy>tsukui</cp:lastModifiedBy>
  <dcterms:created xsi:type="dcterms:W3CDTF">2020-02-13T00:53:16Z</dcterms:created>
  <dcterms:modified xsi:type="dcterms:W3CDTF">2020-09-10T00:07:16Z</dcterms:modified>
</cp:coreProperties>
</file>